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2.xml" ContentType="application/vnd.openxmlformats-officedocument.spreadsheetml.table+xml"/>
  <Override PartName="/xl/pivotTables/pivotTable4.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AAA_DESIGN\VRAEM\2018\"/>
    </mc:Choice>
  </mc:AlternateContent>
  <bookViews>
    <workbookView xWindow="0" yWindow="0" windowWidth="28800" windowHeight="14235" firstSheet="1" activeTab="10"/>
  </bookViews>
  <sheets>
    <sheet name="TD" sheetId="2" state="hidden" r:id="rId1"/>
    <sheet name="ALIADOS II (53)" sheetId="1" r:id="rId2"/>
    <sheet name="Hoja5" sheetId="14" state="hidden" r:id="rId3"/>
    <sheet name="TD (53)" sheetId="12" state="hidden" r:id="rId4"/>
    <sheet name="ALIADOS I (96)" sheetId="7" r:id="rId5"/>
    <sheet name="Hoja12" sheetId="21" state="hidden" r:id="rId6"/>
    <sheet name="TD(96)" sheetId="20" state="hidden" r:id="rId7"/>
    <sheet name="ALIADOSI(96)" sheetId="13" state="hidden" r:id="rId8"/>
    <sheet name="AGROIDEAS (35)" sheetId="6" r:id="rId9"/>
    <sheet name="OTROS (22)" sheetId="10" r:id="rId10"/>
    <sheet name="RESUMEN" sheetId="8" r:id="rId11"/>
    <sheet name="Hoja2" sheetId="9" r:id="rId12"/>
  </sheets>
  <definedNames>
    <definedName name="_xlnm._FilterDatabase" localSheetId="4" hidden="1">'ALIADOS I (96)'!$B$3:$O$99</definedName>
    <definedName name="_xlnm._FilterDatabase" localSheetId="1" hidden="1">'ALIADOS II (53)'!$A$5:$BD$59</definedName>
    <definedName name="_xlnm._FilterDatabase" localSheetId="7" hidden="1">'ALIADOSI(96)'!$B$3:$N$99</definedName>
    <definedName name="_xlnm._FilterDatabase" localSheetId="3" hidden="1">'TD (53)'!$A$3:$BC$57</definedName>
    <definedName name="_xlnm._FilterDatabase" localSheetId="6" hidden="1">'TD(96)'!$A$1:$N$97</definedName>
  </definedNames>
  <calcPr calcId="162913" concurrentCalc="0"/>
  <pivotCaches>
    <pivotCache cacheId="0" r:id="rId13"/>
    <pivotCache cacheId="1" r:id="rId14"/>
    <pivotCache cacheId="2" r:id="rId1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8" l="1"/>
  <c r="M33" i="8"/>
  <c r="M31" i="8"/>
  <c r="M14" i="8"/>
  <c r="M10" i="8"/>
  <c r="M36" i="8"/>
  <c r="I35" i="8"/>
  <c r="I33" i="8"/>
  <c r="I31" i="8"/>
  <c r="I14" i="8"/>
  <c r="I10" i="8"/>
  <c r="I36" i="8"/>
  <c r="Q36" i="8"/>
  <c r="H34" i="8"/>
  <c r="L34" i="8"/>
  <c r="P34" i="8"/>
  <c r="P35" i="8"/>
  <c r="H32" i="8"/>
  <c r="L32" i="8"/>
  <c r="P32" i="8"/>
  <c r="P33" i="8"/>
  <c r="H15" i="8"/>
  <c r="L15" i="8"/>
  <c r="P15" i="8"/>
  <c r="H16" i="8"/>
  <c r="L16" i="8"/>
  <c r="P16" i="8"/>
  <c r="H17" i="8"/>
  <c r="L17" i="8"/>
  <c r="P17" i="8"/>
  <c r="H18" i="8"/>
  <c r="L18" i="8"/>
  <c r="P18" i="8"/>
  <c r="H19" i="8"/>
  <c r="L19" i="8"/>
  <c r="P19" i="8"/>
  <c r="H20" i="8"/>
  <c r="L20" i="8"/>
  <c r="P20" i="8"/>
  <c r="H21" i="8"/>
  <c r="L21" i="8"/>
  <c r="P21" i="8"/>
  <c r="H22" i="8"/>
  <c r="L22" i="8"/>
  <c r="P22" i="8"/>
  <c r="H23" i="8"/>
  <c r="L23" i="8"/>
  <c r="P23" i="8"/>
  <c r="H24" i="8"/>
  <c r="L24" i="8"/>
  <c r="P24" i="8"/>
  <c r="H25" i="8"/>
  <c r="L25" i="8"/>
  <c r="P25" i="8"/>
  <c r="H26" i="8"/>
  <c r="L26" i="8"/>
  <c r="P26" i="8"/>
  <c r="H27" i="8"/>
  <c r="L27" i="8"/>
  <c r="P27" i="8"/>
  <c r="H28" i="8"/>
  <c r="L28" i="8"/>
  <c r="P28" i="8"/>
  <c r="H29" i="8"/>
  <c r="L29" i="8"/>
  <c r="P29" i="8"/>
  <c r="H30" i="8"/>
  <c r="L30" i="8"/>
  <c r="P30" i="8"/>
  <c r="P31" i="8"/>
  <c r="H11" i="8"/>
  <c r="L11" i="8"/>
  <c r="P11" i="8"/>
  <c r="H12" i="8"/>
  <c r="L12" i="8"/>
  <c r="P12" i="8"/>
  <c r="H13" i="8"/>
  <c r="L13" i="8"/>
  <c r="P13" i="8"/>
  <c r="P14" i="8"/>
  <c r="H4" i="8"/>
  <c r="L4" i="8"/>
  <c r="P4" i="8"/>
  <c r="H5" i="8"/>
  <c r="L5" i="8"/>
  <c r="P5" i="8"/>
  <c r="H6" i="8"/>
  <c r="L6" i="8"/>
  <c r="P6" i="8"/>
  <c r="H7" i="8"/>
  <c r="L7" i="8"/>
  <c r="P7" i="8"/>
  <c r="H8" i="8"/>
  <c r="L8" i="8"/>
  <c r="P8" i="8"/>
  <c r="H9" i="8"/>
  <c r="L9" i="8"/>
  <c r="P9" i="8"/>
  <c r="P10" i="8"/>
  <c r="P36" i="8"/>
  <c r="O14" i="8"/>
  <c r="O10" i="8"/>
  <c r="O36" i="8"/>
  <c r="N35" i="8"/>
  <c r="N33" i="8"/>
  <c r="N31" i="8"/>
  <c r="N14" i="8"/>
  <c r="N10" i="8"/>
  <c r="N36" i="8"/>
  <c r="L35" i="8"/>
  <c r="L33" i="8"/>
  <c r="L31" i="8"/>
  <c r="L14" i="8"/>
  <c r="L10" i="8"/>
  <c r="L36" i="8"/>
  <c r="K35" i="8"/>
  <c r="K33" i="8"/>
  <c r="K31" i="8"/>
  <c r="K14" i="8"/>
  <c r="K10" i="8"/>
  <c r="K36" i="8"/>
  <c r="J35" i="8"/>
  <c r="J33" i="8"/>
  <c r="J31" i="8"/>
  <c r="J14" i="8"/>
  <c r="J10" i="8"/>
  <c r="J36" i="8"/>
  <c r="H35" i="8"/>
  <c r="H33" i="8"/>
  <c r="H31" i="8"/>
  <c r="H14" i="8"/>
  <c r="H10" i="8"/>
  <c r="H36" i="8"/>
  <c r="G35" i="8"/>
  <c r="G33" i="8"/>
  <c r="G31" i="8"/>
  <c r="G14" i="8"/>
  <c r="G10" i="8"/>
  <c r="G36" i="8"/>
  <c r="F35" i="8"/>
  <c r="F33" i="8"/>
  <c r="F31" i="8"/>
  <c r="F14" i="8"/>
  <c r="F10" i="8"/>
  <c r="F36" i="8"/>
  <c r="Q35" i="8"/>
  <c r="Q34" i="8"/>
  <c r="Q33" i="8"/>
  <c r="Q32" i="8"/>
  <c r="Q15" i="8"/>
  <c r="Q16" i="8"/>
  <c r="Q17" i="8"/>
  <c r="Q18" i="8"/>
  <c r="Q19" i="8"/>
  <c r="Q20" i="8"/>
  <c r="Q21" i="8"/>
  <c r="Q22" i="8"/>
  <c r="Q23" i="8"/>
  <c r="Q24" i="8"/>
  <c r="Q25" i="8"/>
  <c r="Q26" i="8"/>
  <c r="Q27" i="8"/>
  <c r="Q28" i="8"/>
  <c r="Q29" i="8"/>
  <c r="Q30" i="8"/>
  <c r="Q31" i="8"/>
  <c r="Q14" i="8"/>
  <c r="Q13" i="8"/>
  <c r="Q12" i="8"/>
  <c r="Q11" i="8"/>
  <c r="Q10" i="8"/>
  <c r="Q9" i="8"/>
  <c r="Q8" i="8"/>
  <c r="Q7" i="8"/>
  <c r="Q6" i="8"/>
  <c r="Q5" i="8"/>
  <c r="Q4" i="8"/>
  <c r="N98" i="20"/>
  <c r="O37" i="9"/>
  <c r="N100" i="13"/>
  <c r="AV76" i="12"/>
  <c r="AT76" i="12"/>
  <c r="AW76" i="12"/>
  <c r="AU76" i="12"/>
  <c r="AW75" i="12"/>
  <c r="AV74" i="12"/>
  <c r="AT74" i="12"/>
  <c r="AW74" i="12"/>
  <c r="AU74" i="12"/>
  <c r="AW73" i="12"/>
  <c r="AV72" i="12"/>
  <c r="AT72" i="12"/>
  <c r="AW72" i="12"/>
  <c r="AU72" i="12"/>
  <c r="AW71" i="12"/>
  <c r="AZ57" i="12"/>
  <c r="AZ58" i="12"/>
  <c r="AX57" i="12"/>
  <c r="AX58" i="12"/>
  <c r="BA58" i="12"/>
  <c r="AY57" i="12"/>
  <c r="AY58" i="12"/>
  <c r="AU57" i="12"/>
  <c r="AU58" i="12"/>
  <c r="AT57" i="12"/>
  <c r="AT58" i="12"/>
  <c r="AW58" i="12"/>
  <c r="AV57" i="12"/>
  <c r="AV58" i="12"/>
  <c r="AQ58" i="12"/>
  <c r="AP58" i="12"/>
  <c r="AS58" i="12"/>
  <c r="AR58" i="12"/>
  <c r="AN57" i="12"/>
  <c r="AN58" i="12"/>
  <c r="AL57" i="12"/>
  <c r="AL58" i="12"/>
  <c r="AO58" i="12"/>
  <c r="AM57" i="12"/>
  <c r="AM58" i="12"/>
  <c r="AI57" i="12"/>
  <c r="AI58" i="12"/>
  <c r="AH57" i="12"/>
  <c r="AH58" i="12"/>
  <c r="AK58" i="12"/>
  <c r="AJ57" i="12"/>
  <c r="AJ58" i="12"/>
  <c r="BA57" i="12"/>
  <c r="AW57" i="12"/>
  <c r="AR57" i="12"/>
  <c r="AP57" i="12"/>
  <c r="AS57" i="12"/>
  <c r="AQ57" i="12"/>
  <c r="AO57" i="12"/>
  <c r="AK57" i="12"/>
  <c r="AA57" i="12"/>
  <c r="Z57" i="12"/>
  <c r="Y57" i="12"/>
  <c r="X57" i="12"/>
  <c r="W57" i="12"/>
  <c r="V57" i="12"/>
  <c r="BA56" i="12"/>
  <c r="AW56" i="12"/>
  <c r="AS56" i="12"/>
  <c r="AO56" i="12"/>
  <c r="AK56" i="12"/>
  <c r="AA56" i="12"/>
  <c r="U56" i="12"/>
  <c r="BA55" i="12"/>
  <c r="AW55" i="12"/>
  <c r="AS55" i="12"/>
  <c r="AO55" i="12"/>
  <c r="AK55" i="12"/>
  <c r="AA55" i="12"/>
  <c r="U55" i="12"/>
  <c r="BA54" i="12"/>
  <c r="AW54" i="12"/>
  <c r="AS54" i="12"/>
  <c r="AO54" i="12"/>
  <c r="AK54" i="12"/>
  <c r="AA54" i="12"/>
  <c r="U54" i="12"/>
  <c r="BA53" i="12"/>
  <c r="AW53" i="12"/>
  <c r="AS53" i="12"/>
  <c r="AO53" i="12"/>
  <c r="AK53" i="12"/>
  <c r="AA53" i="12"/>
  <c r="U53" i="12"/>
  <c r="BA52" i="12"/>
  <c r="AW52" i="12"/>
  <c r="AS52" i="12"/>
  <c r="AO52" i="12"/>
  <c r="AK52" i="12"/>
  <c r="AA52" i="12"/>
  <c r="U52" i="12"/>
  <c r="BA51" i="12"/>
  <c r="AW51" i="12"/>
  <c r="AS51" i="12"/>
  <c r="AO51" i="12"/>
  <c r="AK51" i="12"/>
  <c r="AA51" i="12"/>
  <c r="U51" i="12"/>
  <c r="BA50" i="12"/>
  <c r="AW50" i="12"/>
  <c r="AS50" i="12"/>
  <c r="AO50" i="12"/>
  <c r="AK50" i="12"/>
  <c r="AA50" i="12"/>
  <c r="U50" i="12"/>
  <c r="BA49" i="12"/>
  <c r="AW49" i="12"/>
  <c r="AS49" i="12"/>
  <c r="AO49" i="12"/>
  <c r="AK49" i="12"/>
  <c r="AA49" i="12"/>
  <c r="U49" i="12"/>
  <c r="BA48" i="12"/>
  <c r="AW48" i="12"/>
  <c r="AS48" i="12"/>
  <c r="AO48" i="12"/>
  <c r="AK48" i="12"/>
  <c r="AA48" i="12"/>
  <c r="U48" i="12"/>
  <c r="BA47" i="12"/>
  <c r="AW47" i="12"/>
  <c r="AS47" i="12"/>
  <c r="AO47" i="12"/>
  <c r="AK47" i="12"/>
  <c r="AA47" i="12"/>
  <c r="U47" i="12"/>
  <c r="BA46" i="12"/>
  <c r="AW46" i="12"/>
  <c r="AS46" i="12"/>
  <c r="AO46" i="12"/>
  <c r="AK46" i="12"/>
  <c r="AA46" i="12"/>
  <c r="U46" i="12"/>
  <c r="BA45" i="12"/>
  <c r="AW45" i="12"/>
  <c r="AS45" i="12"/>
  <c r="AO45" i="12"/>
  <c r="AK45" i="12"/>
  <c r="AA45" i="12"/>
  <c r="U45" i="12"/>
  <c r="BA44" i="12"/>
  <c r="AW44" i="12"/>
  <c r="AS44" i="12"/>
  <c r="AO44" i="12"/>
  <c r="AK44" i="12"/>
  <c r="AA44" i="12"/>
  <c r="U44" i="12"/>
  <c r="BA43" i="12"/>
  <c r="AW43" i="12"/>
  <c r="AS43" i="12"/>
  <c r="AO43" i="12"/>
  <c r="AK43" i="12"/>
  <c r="AA43" i="12"/>
  <c r="U43" i="12"/>
  <c r="BA42" i="12"/>
  <c r="AW42" i="12"/>
  <c r="AS42" i="12"/>
  <c r="AO42" i="12"/>
  <c r="AK42" i="12"/>
  <c r="AA42" i="12"/>
  <c r="U42" i="12"/>
  <c r="BA41" i="12"/>
  <c r="AW41" i="12"/>
  <c r="AS41" i="12"/>
  <c r="AO41" i="12"/>
  <c r="AK41" i="12"/>
  <c r="AA41" i="12"/>
  <c r="U41" i="12"/>
  <c r="BA40" i="12"/>
  <c r="AW40" i="12"/>
  <c r="AS40" i="12"/>
  <c r="AO40" i="12"/>
  <c r="AK40" i="12"/>
  <c r="AA40" i="12"/>
  <c r="U40" i="12"/>
  <c r="BA39" i="12"/>
  <c r="AW39" i="12"/>
  <c r="AS39" i="12"/>
  <c r="AO39" i="12"/>
  <c r="AK39" i="12"/>
  <c r="AA39" i="12"/>
  <c r="U39" i="12"/>
  <c r="BA38" i="12"/>
  <c r="AW38" i="12"/>
  <c r="AS38" i="12"/>
  <c r="AO38" i="12"/>
  <c r="AK38" i="12"/>
  <c r="AA38" i="12"/>
  <c r="U38" i="12"/>
  <c r="BA37" i="12"/>
  <c r="AW37" i="12"/>
  <c r="AS37" i="12"/>
  <c r="AO37" i="12"/>
  <c r="AK37" i="12"/>
  <c r="AA37" i="12"/>
  <c r="U37" i="12"/>
  <c r="BA36" i="12"/>
  <c r="AW36" i="12"/>
  <c r="AS36" i="12"/>
  <c r="AO36" i="12"/>
  <c r="AK36" i="12"/>
  <c r="AA36" i="12"/>
  <c r="U36" i="12"/>
  <c r="BA35" i="12"/>
  <c r="AW35" i="12"/>
  <c r="AS35" i="12"/>
  <c r="AO35" i="12"/>
  <c r="AK35" i="12"/>
  <c r="AA35" i="12"/>
  <c r="U35" i="12"/>
  <c r="BA34" i="12"/>
  <c r="AW34" i="12"/>
  <c r="AS34" i="12"/>
  <c r="AO34" i="12"/>
  <c r="AK34" i="12"/>
  <c r="AA34" i="12"/>
  <c r="U34" i="12"/>
  <c r="BA33" i="12"/>
  <c r="AW33" i="12"/>
  <c r="AS33" i="12"/>
  <c r="AO33" i="12"/>
  <c r="AK33" i="12"/>
  <c r="AA33" i="12"/>
  <c r="U33" i="12"/>
  <c r="BA32" i="12"/>
  <c r="AW32" i="12"/>
  <c r="AS32" i="12"/>
  <c r="AO32" i="12"/>
  <c r="AK32" i="12"/>
  <c r="AA32" i="12"/>
  <c r="U32" i="12"/>
  <c r="BA31" i="12"/>
  <c r="AW31" i="12"/>
  <c r="AS31" i="12"/>
  <c r="AO31" i="12"/>
  <c r="AK31" i="12"/>
  <c r="AA31" i="12"/>
  <c r="U31" i="12"/>
  <c r="BA30" i="12"/>
  <c r="AW30" i="12"/>
  <c r="AS30" i="12"/>
  <c r="AO30" i="12"/>
  <c r="AK30" i="12"/>
  <c r="AA30" i="12"/>
  <c r="U30" i="12"/>
  <c r="BA29" i="12"/>
  <c r="AW29" i="12"/>
  <c r="AS29" i="12"/>
  <c r="AO29" i="12"/>
  <c r="AK29" i="12"/>
  <c r="AA29" i="12"/>
  <c r="U29" i="12"/>
  <c r="BA28" i="12"/>
  <c r="AW28" i="12"/>
  <c r="AS28" i="12"/>
  <c r="AO28" i="12"/>
  <c r="AK28" i="12"/>
  <c r="AA28" i="12"/>
  <c r="U28" i="12"/>
  <c r="BA27" i="12"/>
  <c r="AW27" i="12"/>
  <c r="AS27" i="12"/>
  <c r="AO27" i="12"/>
  <c r="AK27" i="12"/>
  <c r="AA27" i="12"/>
  <c r="U27" i="12"/>
  <c r="BA26" i="12"/>
  <c r="AW26" i="12"/>
  <c r="AS26" i="12"/>
  <c r="AO26" i="12"/>
  <c r="AK26" i="12"/>
  <c r="AA26" i="12"/>
  <c r="U26" i="12"/>
  <c r="BA25" i="12"/>
  <c r="AW25" i="12"/>
  <c r="AS25" i="12"/>
  <c r="AO25" i="12"/>
  <c r="AK25" i="12"/>
  <c r="AA25" i="12"/>
  <c r="U25" i="12"/>
  <c r="BA24" i="12"/>
  <c r="AW24" i="12"/>
  <c r="AS24" i="12"/>
  <c r="AO24" i="12"/>
  <c r="AK24" i="12"/>
  <c r="AA24" i="12"/>
  <c r="U24" i="12"/>
  <c r="BA23" i="12"/>
  <c r="AW23" i="12"/>
  <c r="AS23" i="12"/>
  <c r="AO23" i="12"/>
  <c r="AK23" i="12"/>
  <c r="AA23" i="12"/>
  <c r="U23" i="12"/>
  <c r="BA22" i="12"/>
  <c r="AW22" i="12"/>
  <c r="AS22" i="12"/>
  <c r="AO22" i="12"/>
  <c r="AK22" i="12"/>
  <c r="AA22" i="12"/>
  <c r="U22" i="12"/>
  <c r="BA21" i="12"/>
  <c r="AW21" i="12"/>
  <c r="AS21" i="12"/>
  <c r="AO21" i="12"/>
  <c r="AK21" i="12"/>
  <c r="AA21" i="12"/>
  <c r="U21" i="12"/>
  <c r="BA20" i="12"/>
  <c r="AW20" i="12"/>
  <c r="AS20" i="12"/>
  <c r="AO20" i="12"/>
  <c r="AK20" i="12"/>
  <c r="AA20" i="12"/>
  <c r="U20" i="12"/>
  <c r="BA19" i="12"/>
  <c r="AW19" i="12"/>
  <c r="AS19" i="12"/>
  <c r="AO19" i="12"/>
  <c r="AK19" i="12"/>
  <c r="AA19" i="12"/>
  <c r="U19" i="12"/>
  <c r="BA18" i="12"/>
  <c r="AW18" i="12"/>
  <c r="AS18" i="12"/>
  <c r="AO18" i="12"/>
  <c r="AK18" i="12"/>
  <c r="AA18" i="12"/>
  <c r="U18" i="12"/>
  <c r="BA17" i="12"/>
  <c r="AW17" i="12"/>
  <c r="AS17" i="12"/>
  <c r="AO17" i="12"/>
  <c r="AK17" i="12"/>
  <c r="AA17" i="12"/>
  <c r="U17" i="12"/>
  <c r="BA16" i="12"/>
  <c r="AW16" i="12"/>
  <c r="AS16" i="12"/>
  <c r="AO16" i="12"/>
  <c r="AK16" i="12"/>
  <c r="AA16" i="12"/>
  <c r="U16" i="12"/>
  <c r="BA15" i="12"/>
  <c r="AW15" i="12"/>
  <c r="AS15" i="12"/>
  <c r="AO15" i="12"/>
  <c r="AK15" i="12"/>
  <c r="AA15" i="12"/>
  <c r="U15" i="12"/>
  <c r="BA14" i="12"/>
  <c r="AW14" i="12"/>
  <c r="AS14" i="12"/>
  <c r="AO14" i="12"/>
  <c r="AK14" i="12"/>
  <c r="AA14" i="12"/>
  <c r="U14" i="12"/>
  <c r="BA13" i="12"/>
  <c r="AW13" i="12"/>
  <c r="AS13" i="12"/>
  <c r="AO13" i="12"/>
  <c r="AK13" i="12"/>
  <c r="AA13" i="12"/>
  <c r="U13" i="12"/>
  <c r="BA12" i="12"/>
  <c r="AW12" i="12"/>
  <c r="AS12" i="12"/>
  <c r="AO12" i="12"/>
  <c r="AK12" i="12"/>
  <c r="AA12" i="12"/>
  <c r="U12" i="12"/>
  <c r="BA11" i="12"/>
  <c r="AW11" i="12"/>
  <c r="AS11" i="12"/>
  <c r="AO11" i="12"/>
  <c r="AK11" i="12"/>
  <c r="AA11" i="12"/>
  <c r="U11" i="12"/>
  <c r="BA10" i="12"/>
  <c r="AW10" i="12"/>
  <c r="AS10" i="12"/>
  <c r="AO10" i="12"/>
  <c r="AK10" i="12"/>
  <c r="AA10" i="12"/>
  <c r="U10" i="12"/>
  <c r="BA9" i="12"/>
  <c r="AW9" i="12"/>
  <c r="AS9" i="12"/>
  <c r="AO9" i="12"/>
  <c r="AK9" i="12"/>
  <c r="AA9" i="12"/>
  <c r="U9" i="12"/>
  <c r="BA8" i="12"/>
  <c r="AW8" i="12"/>
  <c r="AS8" i="12"/>
  <c r="AO8" i="12"/>
  <c r="AK8" i="12"/>
  <c r="AA8" i="12"/>
  <c r="U8" i="12"/>
  <c r="BA7" i="12"/>
  <c r="AW7" i="12"/>
  <c r="AS7" i="12"/>
  <c r="AO7" i="12"/>
  <c r="AK7" i="12"/>
  <c r="AA7" i="12"/>
  <c r="U7" i="12"/>
  <c r="BA6" i="12"/>
  <c r="AW6" i="12"/>
  <c r="AS6" i="12"/>
  <c r="AO6" i="12"/>
  <c r="AK6" i="12"/>
  <c r="AA6" i="12"/>
  <c r="U6" i="12"/>
  <c r="BA5" i="12"/>
  <c r="AW5" i="12"/>
  <c r="AS5" i="12"/>
  <c r="AO5" i="12"/>
  <c r="AK5" i="12"/>
  <c r="AA5" i="12"/>
  <c r="U5" i="12"/>
  <c r="BA4" i="12"/>
  <c r="AW4" i="12"/>
  <c r="AS4" i="12"/>
  <c r="AO4" i="12"/>
  <c r="AK4" i="12"/>
  <c r="AA4" i="12"/>
  <c r="U4" i="12"/>
  <c r="G6" i="9"/>
  <c r="G35" i="9"/>
  <c r="G36" i="9"/>
  <c r="G33" i="9"/>
  <c r="G34" i="9"/>
  <c r="G16" i="9"/>
  <c r="G17" i="9"/>
  <c r="G18" i="9"/>
  <c r="G19" i="9"/>
  <c r="G20" i="9"/>
  <c r="G21" i="9"/>
  <c r="G22" i="9"/>
  <c r="G23" i="9"/>
  <c r="G24" i="9"/>
  <c r="G25" i="9"/>
  <c r="G26" i="9"/>
  <c r="G27" i="9"/>
  <c r="G28" i="9"/>
  <c r="G29" i="9"/>
  <c r="G30" i="9"/>
  <c r="G31" i="9"/>
  <c r="G32" i="9"/>
  <c r="G12" i="9"/>
  <c r="G13" i="9"/>
  <c r="G14" i="9"/>
  <c r="G15" i="9"/>
  <c r="G37" i="9"/>
  <c r="K35" i="9"/>
  <c r="K36" i="9"/>
  <c r="K33" i="9"/>
  <c r="K34" i="9"/>
  <c r="K16" i="9"/>
  <c r="K17" i="9"/>
  <c r="K18" i="9"/>
  <c r="K19" i="9"/>
  <c r="K20" i="9"/>
  <c r="K21" i="9"/>
  <c r="K22" i="9"/>
  <c r="K23" i="9"/>
  <c r="K24" i="9"/>
  <c r="K25" i="9"/>
  <c r="K26" i="9"/>
  <c r="K27" i="9"/>
  <c r="K28" i="9"/>
  <c r="K29" i="9"/>
  <c r="K30" i="9"/>
  <c r="K31" i="9"/>
  <c r="K32" i="9"/>
  <c r="K12" i="9"/>
  <c r="K13" i="9"/>
  <c r="K14" i="9"/>
  <c r="K15" i="9"/>
  <c r="K5" i="9"/>
  <c r="K6" i="9"/>
  <c r="K7" i="9"/>
  <c r="K8" i="9"/>
  <c r="K9" i="9"/>
  <c r="K10" i="9"/>
  <c r="K11" i="9"/>
  <c r="K37" i="9"/>
  <c r="G5" i="9"/>
  <c r="O5" i="9"/>
  <c r="P5" i="9"/>
  <c r="O6" i="9"/>
  <c r="P6" i="9"/>
  <c r="G7" i="9"/>
  <c r="O7" i="9"/>
  <c r="P7" i="9"/>
  <c r="G8" i="9"/>
  <c r="O8" i="9"/>
  <c r="P8" i="9"/>
  <c r="G9" i="9"/>
  <c r="O9" i="9"/>
  <c r="P9" i="9"/>
  <c r="G10" i="9"/>
  <c r="O10" i="9"/>
  <c r="P10" i="9"/>
  <c r="M36" i="9"/>
  <c r="M34" i="9"/>
  <c r="M32" i="9"/>
  <c r="M15" i="9"/>
  <c r="M11" i="9"/>
  <c r="M37" i="9"/>
  <c r="J36" i="9"/>
  <c r="J34" i="9"/>
  <c r="J32" i="9"/>
  <c r="J15" i="9"/>
  <c r="J11" i="9"/>
  <c r="J37" i="9"/>
  <c r="I36" i="9"/>
  <c r="I34" i="9"/>
  <c r="I32" i="9"/>
  <c r="I15" i="9"/>
  <c r="I11" i="9"/>
  <c r="I37" i="9"/>
  <c r="F36" i="9"/>
  <c r="F34" i="9"/>
  <c r="F32" i="9"/>
  <c r="F15" i="9"/>
  <c r="F11" i="9"/>
  <c r="F37" i="9"/>
  <c r="E36" i="9"/>
  <c r="E34" i="9"/>
  <c r="E32" i="9"/>
  <c r="E15" i="9"/>
  <c r="E11" i="9"/>
  <c r="E37" i="9"/>
  <c r="L36" i="9"/>
  <c r="L34" i="9"/>
  <c r="L32" i="9"/>
  <c r="L15" i="9"/>
  <c r="L11" i="9"/>
  <c r="L37" i="9"/>
  <c r="H36" i="9"/>
  <c r="H34" i="9"/>
  <c r="H32" i="9"/>
  <c r="H15" i="9"/>
  <c r="H11" i="9"/>
  <c r="H37" i="9"/>
  <c r="P37" i="9"/>
  <c r="P36" i="9"/>
  <c r="O35" i="9"/>
  <c r="O36" i="9"/>
  <c r="P35" i="9"/>
  <c r="P34" i="9"/>
  <c r="O33" i="9"/>
  <c r="O34" i="9"/>
  <c r="P33" i="9"/>
  <c r="P16" i="9"/>
  <c r="P17" i="9"/>
  <c r="P18" i="9"/>
  <c r="P19" i="9"/>
  <c r="P20" i="9"/>
  <c r="P21" i="9"/>
  <c r="P22" i="9"/>
  <c r="P23" i="9"/>
  <c r="P24" i="9"/>
  <c r="P25" i="9"/>
  <c r="P26" i="9"/>
  <c r="P27" i="9"/>
  <c r="P28" i="9"/>
  <c r="P29" i="9"/>
  <c r="P30" i="9"/>
  <c r="P31" i="9"/>
  <c r="P32" i="9"/>
  <c r="O16" i="9"/>
  <c r="O17" i="9"/>
  <c r="O18" i="9"/>
  <c r="O19" i="9"/>
  <c r="O20" i="9"/>
  <c r="O21" i="9"/>
  <c r="O22" i="9"/>
  <c r="O23" i="9"/>
  <c r="O24" i="9"/>
  <c r="O25" i="9"/>
  <c r="O26" i="9"/>
  <c r="O27" i="9"/>
  <c r="O28" i="9"/>
  <c r="O29" i="9"/>
  <c r="O30" i="9"/>
  <c r="O31" i="9"/>
  <c r="O32" i="9"/>
  <c r="P15" i="9"/>
  <c r="O12" i="9"/>
  <c r="O13" i="9"/>
  <c r="O14" i="9"/>
  <c r="P14" i="9"/>
  <c r="P13" i="9"/>
  <c r="P12" i="9"/>
  <c r="P11" i="9"/>
  <c r="O100" i="7"/>
  <c r="W59" i="1"/>
  <c r="V29" i="1"/>
  <c r="AB29" i="1"/>
  <c r="AL29" i="1"/>
  <c r="AP29" i="1"/>
  <c r="AT29" i="1"/>
  <c r="AX29" i="1"/>
  <c r="BB29" i="1"/>
  <c r="AS60" i="1"/>
  <c r="AR60" i="1"/>
  <c r="AQ60" i="1"/>
  <c r="AW78" i="1"/>
  <c r="AV78" i="1"/>
  <c r="AU78" i="1"/>
  <c r="AX77" i="1"/>
  <c r="AW76" i="1"/>
  <c r="AV76" i="1"/>
  <c r="AU76" i="1"/>
  <c r="AX75" i="1"/>
  <c r="AW74" i="1"/>
  <c r="AV74" i="1"/>
  <c r="AU74" i="1"/>
  <c r="AX73" i="1"/>
  <c r="BA59" i="1"/>
  <c r="AZ59" i="1"/>
  <c r="AZ60" i="1"/>
  <c r="AY59" i="1"/>
  <c r="AY60" i="1"/>
  <c r="AW59" i="1"/>
  <c r="AV59" i="1"/>
  <c r="AV60" i="1"/>
  <c r="AU59" i="1"/>
  <c r="AU60" i="1"/>
  <c r="AS59" i="1"/>
  <c r="AR59" i="1"/>
  <c r="AQ59" i="1"/>
  <c r="AO59" i="1"/>
  <c r="AN59" i="1"/>
  <c r="AN60" i="1"/>
  <c r="AM59" i="1"/>
  <c r="AM60" i="1"/>
  <c r="AK59" i="1"/>
  <c r="AJ59" i="1"/>
  <c r="AJ60" i="1"/>
  <c r="AI59" i="1"/>
  <c r="AI60" i="1"/>
  <c r="AB59" i="1"/>
  <c r="AA59" i="1"/>
  <c r="Z59" i="1"/>
  <c r="Y59" i="1"/>
  <c r="X59" i="1"/>
  <c r="BB58" i="1"/>
  <c r="AX58" i="1"/>
  <c r="AT58" i="1"/>
  <c r="AP58" i="1"/>
  <c r="AL58" i="1"/>
  <c r="AB58" i="1"/>
  <c r="V58" i="1"/>
  <c r="BB57" i="1"/>
  <c r="AX57" i="1"/>
  <c r="AT57" i="1"/>
  <c r="AP57" i="1"/>
  <c r="AL57" i="1"/>
  <c r="AB57" i="1"/>
  <c r="V57" i="1"/>
  <c r="BB56" i="1"/>
  <c r="AX56" i="1"/>
  <c r="AT56" i="1"/>
  <c r="AP56" i="1"/>
  <c r="AL56" i="1"/>
  <c r="AB56" i="1"/>
  <c r="V56" i="1"/>
  <c r="BB55" i="1"/>
  <c r="AX55" i="1"/>
  <c r="AT55" i="1"/>
  <c r="AP55" i="1"/>
  <c r="AL55" i="1"/>
  <c r="AB55" i="1"/>
  <c r="V55" i="1"/>
  <c r="BB54" i="1"/>
  <c r="AX54" i="1"/>
  <c r="AT54" i="1"/>
  <c r="AP54" i="1"/>
  <c r="AL54" i="1"/>
  <c r="AB54" i="1"/>
  <c r="V54" i="1"/>
  <c r="BB53" i="1"/>
  <c r="AX53" i="1"/>
  <c r="AT53" i="1"/>
  <c r="AP53" i="1"/>
  <c r="AL53" i="1"/>
  <c r="AB53" i="1"/>
  <c r="V53" i="1"/>
  <c r="BB52" i="1"/>
  <c r="AX52" i="1"/>
  <c r="AT52" i="1"/>
  <c r="AP52" i="1"/>
  <c r="AL52" i="1"/>
  <c r="AB52" i="1"/>
  <c r="V52" i="1"/>
  <c r="BB51" i="1"/>
  <c r="AX51" i="1"/>
  <c r="AT51" i="1"/>
  <c r="AP51" i="1"/>
  <c r="AL51" i="1"/>
  <c r="AB51" i="1"/>
  <c r="V51" i="1"/>
  <c r="BB50" i="1"/>
  <c r="AX50" i="1"/>
  <c r="AT50" i="1"/>
  <c r="AP50" i="1"/>
  <c r="AL50" i="1"/>
  <c r="AB50" i="1"/>
  <c r="V50" i="1"/>
  <c r="BB49" i="1"/>
  <c r="AX49" i="1"/>
  <c r="AT49" i="1"/>
  <c r="AP49" i="1"/>
  <c r="AL49" i="1"/>
  <c r="AB49" i="1"/>
  <c r="V49" i="1"/>
  <c r="BB48" i="1"/>
  <c r="AX48" i="1"/>
  <c r="AT48" i="1"/>
  <c r="AP48" i="1"/>
  <c r="AL48" i="1"/>
  <c r="AB48" i="1"/>
  <c r="V48" i="1"/>
  <c r="BB47" i="1"/>
  <c r="AX47" i="1"/>
  <c r="AT47" i="1"/>
  <c r="AP47" i="1"/>
  <c r="AL47" i="1"/>
  <c r="AB47" i="1"/>
  <c r="V47" i="1"/>
  <c r="BB46" i="1"/>
  <c r="AX46" i="1"/>
  <c r="AT46" i="1"/>
  <c r="AP46" i="1"/>
  <c r="AL46" i="1"/>
  <c r="AB46" i="1"/>
  <c r="V46" i="1"/>
  <c r="BB45" i="1"/>
  <c r="AX45" i="1"/>
  <c r="AT45" i="1"/>
  <c r="AP45" i="1"/>
  <c r="AL45" i="1"/>
  <c r="AB45" i="1"/>
  <c r="V45" i="1"/>
  <c r="BB44" i="1"/>
  <c r="AX44" i="1"/>
  <c r="AT44" i="1"/>
  <c r="AP44" i="1"/>
  <c r="AL44" i="1"/>
  <c r="AB44" i="1"/>
  <c r="V44" i="1"/>
  <c r="BB43" i="1"/>
  <c r="AX43" i="1"/>
  <c r="AT43" i="1"/>
  <c r="AP43" i="1"/>
  <c r="AL43" i="1"/>
  <c r="AB43" i="1"/>
  <c r="V43" i="1"/>
  <c r="BB42" i="1"/>
  <c r="AX42" i="1"/>
  <c r="AT42" i="1"/>
  <c r="AP42" i="1"/>
  <c r="AL42" i="1"/>
  <c r="AB42" i="1"/>
  <c r="V42" i="1"/>
  <c r="BB41" i="1"/>
  <c r="AX41" i="1"/>
  <c r="AT41" i="1"/>
  <c r="AP41" i="1"/>
  <c r="AL41" i="1"/>
  <c r="AB41" i="1"/>
  <c r="V41" i="1"/>
  <c r="BB40" i="1"/>
  <c r="AX40" i="1"/>
  <c r="AT40" i="1"/>
  <c r="AP40" i="1"/>
  <c r="AL40" i="1"/>
  <c r="AB40" i="1"/>
  <c r="V40" i="1"/>
  <c r="BB39" i="1"/>
  <c r="AX39" i="1"/>
  <c r="AT39" i="1"/>
  <c r="AP39" i="1"/>
  <c r="AL39" i="1"/>
  <c r="AB39" i="1"/>
  <c r="V39" i="1"/>
  <c r="BB38" i="1"/>
  <c r="AX38" i="1"/>
  <c r="AT38" i="1"/>
  <c r="AP38" i="1"/>
  <c r="AL38" i="1"/>
  <c r="AB38" i="1"/>
  <c r="V38" i="1"/>
  <c r="BB37" i="1"/>
  <c r="AX37" i="1"/>
  <c r="AT37" i="1"/>
  <c r="AP37" i="1"/>
  <c r="AL37" i="1"/>
  <c r="AB37" i="1"/>
  <c r="V37" i="1"/>
  <c r="BB36" i="1"/>
  <c r="AX36" i="1"/>
  <c r="AT36" i="1"/>
  <c r="AP36" i="1"/>
  <c r="AL36" i="1"/>
  <c r="AB36" i="1"/>
  <c r="V36" i="1"/>
  <c r="BB35" i="1"/>
  <c r="AX35" i="1"/>
  <c r="AT35" i="1"/>
  <c r="AP35" i="1"/>
  <c r="AL35" i="1"/>
  <c r="AB35" i="1"/>
  <c r="V35" i="1"/>
  <c r="BB34" i="1"/>
  <c r="AX34" i="1"/>
  <c r="AT34" i="1"/>
  <c r="AP34" i="1"/>
  <c r="AL34" i="1"/>
  <c r="AB34" i="1"/>
  <c r="V34" i="1"/>
  <c r="BB33" i="1"/>
  <c r="AX33" i="1"/>
  <c r="AT33" i="1"/>
  <c r="AP33" i="1"/>
  <c r="AL33" i="1"/>
  <c r="AB33" i="1"/>
  <c r="V33" i="1"/>
  <c r="BB32" i="1"/>
  <c r="AX32" i="1"/>
  <c r="AT32" i="1"/>
  <c r="AP32" i="1"/>
  <c r="AL32" i="1"/>
  <c r="AB32" i="1"/>
  <c r="V32" i="1"/>
  <c r="BB31" i="1"/>
  <c r="AX31" i="1"/>
  <c r="AT31" i="1"/>
  <c r="AP31" i="1"/>
  <c r="AL31" i="1"/>
  <c r="AB31" i="1"/>
  <c r="V31" i="1"/>
  <c r="BB30" i="1"/>
  <c r="AX30" i="1"/>
  <c r="AT30" i="1"/>
  <c r="AP30" i="1"/>
  <c r="AL30" i="1"/>
  <c r="AB30" i="1"/>
  <c r="V30" i="1"/>
  <c r="BB28" i="1"/>
  <c r="AX28" i="1"/>
  <c r="AT28" i="1"/>
  <c r="AP28" i="1"/>
  <c r="AL28" i="1"/>
  <c r="AB28" i="1"/>
  <c r="V28" i="1"/>
  <c r="BB27" i="1"/>
  <c r="AX27" i="1"/>
  <c r="AT27" i="1"/>
  <c r="AP27" i="1"/>
  <c r="AL27" i="1"/>
  <c r="AB27" i="1"/>
  <c r="V27" i="1"/>
  <c r="BB26" i="1"/>
  <c r="AX26" i="1"/>
  <c r="AT26" i="1"/>
  <c r="AP26" i="1"/>
  <c r="AL26" i="1"/>
  <c r="AB26" i="1"/>
  <c r="V26" i="1"/>
  <c r="BB25" i="1"/>
  <c r="AX25" i="1"/>
  <c r="AT25" i="1"/>
  <c r="AP25" i="1"/>
  <c r="AL25" i="1"/>
  <c r="AB25" i="1"/>
  <c r="V25" i="1"/>
  <c r="BB24" i="1"/>
  <c r="AX24" i="1"/>
  <c r="AT24" i="1"/>
  <c r="AP24" i="1"/>
  <c r="AL24" i="1"/>
  <c r="AB24" i="1"/>
  <c r="V24" i="1"/>
  <c r="BB23" i="1"/>
  <c r="AX23" i="1"/>
  <c r="AT23" i="1"/>
  <c r="AP23" i="1"/>
  <c r="AL23" i="1"/>
  <c r="AB23" i="1"/>
  <c r="V23" i="1"/>
  <c r="BB22" i="1"/>
  <c r="AX22" i="1"/>
  <c r="AT22" i="1"/>
  <c r="AP22" i="1"/>
  <c r="AL22" i="1"/>
  <c r="AB22" i="1"/>
  <c r="V22" i="1"/>
  <c r="BB21" i="1"/>
  <c r="AX21" i="1"/>
  <c r="AT21" i="1"/>
  <c r="AP21" i="1"/>
  <c r="AL21" i="1"/>
  <c r="AB21" i="1"/>
  <c r="V21" i="1"/>
  <c r="BB20" i="1"/>
  <c r="AX20" i="1"/>
  <c r="AT20" i="1"/>
  <c r="AP20" i="1"/>
  <c r="AL20" i="1"/>
  <c r="AB20" i="1"/>
  <c r="V20" i="1"/>
  <c r="BB19" i="1"/>
  <c r="AX19" i="1"/>
  <c r="AT19" i="1"/>
  <c r="AP19" i="1"/>
  <c r="AL19" i="1"/>
  <c r="AB19" i="1"/>
  <c r="V19" i="1"/>
  <c r="BB18" i="1"/>
  <c r="AX18" i="1"/>
  <c r="AT18" i="1"/>
  <c r="AP18" i="1"/>
  <c r="AL18" i="1"/>
  <c r="AB18" i="1"/>
  <c r="V18" i="1"/>
  <c r="BB17" i="1"/>
  <c r="AX17" i="1"/>
  <c r="AT17" i="1"/>
  <c r="AP17" i="1"/>
  <c r="AL17" i="1"/>
  <c r="AB17" i="1"/>
  <c r="V17" i="1"/>
  <c r="BB16" i="1"/>
  <c r="AX16" i="1"/>
  <c r="AT16" i="1"/>
  <c r="AP16" i="1"/>
  <c r="AL16" i="1"/>
  <c r="AB16" i="1"/>
  <c r="V16" i="1"/>
  <c r="BB15" i="1"/>
  <c r="AX15" i="1"/>
  <c r="AT15" i="1"/>
  <c r="AP15" i="1"/>
  <c r="AL15" i="1"/>
  <c r="AB15" i="1"/>
  <c r="V15" i="1"/>
  <c r="BB14" i="1"/>
  <c r="AX14" i="1"/>
  <c r="AT14" i="1"/>
  <c r="AP14" i="1"/>
  <c r="AL14" i="1"/>
  <c r="AB14" i="1"/>
  <c r="V14" i="1"/>
  <c r="BB13" i="1"/>
  <c r="AX13" i="1"/>
  <c r="AT13" i="1"/>
  <c r="AP13" i="1"/>
  <c r="AL13" i="1"/>
  <c r="AB13" i="1"/>
  <c r="V13" i="1"/>
  <c r="BB12" i="1"/>
  <c r="AX12" i="1"/>
  <c r="AT12" i="1"/>
  <c r="AP12" i="1"/>
  <c r="AL12" i="1"/>
  <c r="AB12" i="1"/>
  <c r="V12" i="1"/>
  <c r="BB11" i="1"/>
  <c r="AX11" i="1"/>
  <c r="AT11" i="1"/>
  <c r="AP11" i="1"/>
  <c r="AL11" i="1"/>
  <c r="AB11" i="1"/>
  <c r="V11" i="1"/>
  <c r="BB10" i="1"/>
  <c r="AX10" i="1"/>
  <c r="AT10" i="1"/>
  <c r="AP10" i="1"/>
  <c r="AL10" i="1"/>
  <c r="AB10" i="1"/>
  <c r="V10" i="1"/>
  <c r="BB9" i="1"/>
  <c r="AX9" i="1"/>
  <c r="AT9" i="1"/>
  <c r="AP9" i="1"/>
  <c r="AL9" i="1"/>
  <c r="AB9" i="1"/>
  <c r="V9" i="1"/>
  <c r="BB8" i="1"/>
  <c r="AX8" i="1"/>
  <c r="AT8" i="1"/>
  <c r="AP8" i="1"/>
  <c r="AL8" i="1"/>
  <c r="AB8" i="1"/>
  <c r="V8" i="1"/>
  <c r="BB7" i="1"/>
  <c r="AX7" i="1"/>
  <c r="AT7" i="1"/>
  <c r="AP7" i="1"/>
  <c r="AL7" i="1"/>
  <c r="AB7" i="1"/>
  <c r="V7" i="1"/>
  <c r="BB6" i="1"/>
  <c r="AX6" i="1"/>
  <c r="AT6" i="1"/>
  <c r="AP6" i="1"/>
  <c r="AL6" i="1"/>
  <c r="AB6" i="1"/>
  <c r="V6" i="1"/>
  <c r="AX74" i="1"/>
  <c r="AX76" i="1"/>
  <c r="AX78" i="1"/>
  <c r="AT60" i="1"/>
  <c r="AP59" i="1"/>
  <c r="AT59" i="1"/>
  <c r="AL59" i="1"/>
  <c r="BB59" i="1"/>
  <c r="AX59" i="1"/>
  <c r="AL60" i="1"/>
  <c r="AX60" i="1"/>
  <c r="AK60" i="1"/>
  <c r="AO60" i="1"/>
  <c r="AP60" i="1"/>
  <c r="AW60" i="1"/>
  <c r="BA60" i="1"/>
  <c r="BB60" i="1"/>
</calcChain>
</file>

<file path=xl/sharedStrings.xml><?xml version="1.0" encoding="utf-8"?>
<sst xmlns="http://schemas.openxmlformats.org/spreadsheetml/2006/main" count="4861" uniqueCount="842">
  <si>
    <t>Nº</t>
  </si>
  <si>
    <t>TIPO</t>
  </si>
  <si>
    <t>Nº CONTRATO</t>
  </si>
  <si>
    <t>NOMBRE DE LA ORGANIZACION</t>
  </si>
  <si>
    <t>DENOMINACION DEL PLAN</t>
  </si>
  <si>
    <t>RUBRO</t>
  </si>
  <si>
    <t>LINEA</t>
  </si>
  <si>
    <t>PROVINCIA</t>
  </si>
  <si>
    <t>DISTRITO</t>
  </si>
  <si>
    <t>LATITUD</t>
  </si>
  <si>
    <t>LONGITUD</t>
  </si>
  <si>
    <t>ALTITUD</t>
  </si>
  <si>
    <t>QUINTIL</t>
  </si>
  <si>
    <t>Nº SOCIOS</t>
  </si>
  <si>
    <t>Nº SOCIOS (M)</t>
  </si>
  <si>
    <t>Nº SOCIOS (F)</t>
  </si>
  <si>
    <t>Nº SOCIO JOVEN(M)</t>
  </si>
  <si>
    <t>Nº SOCIO JOVEN(F)</t>
  </si>
  <si>
    <t>TOTAL JÓVENES</t>
  </si>
  <si>
    <t>Nº FAMILIAS
(M)</t>
  </si>
  <si>
    <t>Nº FAMILIAS
(F)</t>
  </si>
  <si>
    <t>Nº FAMILIA JOVEN
(M)</t>
  </si>
  <si>
    <t>Nº FAMILIA JOVEN
(F)</t>
  </si>
  <si>
    <t>TOTAL FAMILIAS JÓVENES</t>
  </si>
  <si>
    <t>CALIFICACION</t>
  </si>
  <si>
    <t>PRODUCCION</t>
  </si>
  <si>
    <t>VENTAS</t>
  </si>
  <si>
    <t>VALOR DE ACTIVOS
INDICADORES: 1, 2,3,4</t>
  </si>
  <si>
    <t>VOLUMEN DE LA PRODUCCION</t>
  </si>
  <si>
    <t>INCREMENTO (%)</t>
  </si>
  <si>
    <t>VALOR DE LA PRODUCCION</t>
  </si>
  <si>
    <t>VOLUMEN DE VENTAS</t>
  </si>
  <si>
    <t>VALOR DE VENTAS</t>
  </si>
  <si>
    <t>Sin proyecto</t>
  </si>
  <si>
    <t>Con proyecto</t>
  </si>
  <si>
    <t>Incremento (S/)</t>
  </si>
  <si>
    <t>Nº 
SOCIOS
 (M)</t>
  </si>
  <si>
    <t>Nº FAMILIAS(M)</t>
  </si>
  <si>
    <t>Nº FAMILIAS(F)</t>
  </si>
  <si>
    <t>Nº FAMILIA JOVEN(M)</t>
  </si>
  <si>
    <t>Nº FAMILIA JOVEN(F)</t>
  </si>
  <si>
    <t>Incremento</t>
  </si>
  <si>
    <t>Sin proyecto2</t>
  </si>
  <si>
    <t>Con proyecto3</t>
  </si>
  <si>
    <t>INCREMENTO (%)4</t>
  </si>
  <si>
    <t>Sin proyecto5</t>
  </si>
  <si>
    <t>Con proyecto6</t>
  </si>
  <si>
    <t>Incremento (S/)7</t>
  </si>
  <si>
    <t>INCREMENTO (%)8</t>
  </si>
  <si>
    <t>Sin proyecto9</t>
  </si>
  <si>
    <t>Con proyecto10</t>
  </si>
  <si>
    <t>Incremento (S/)11</t>
  </si>
  <si>
    <t>INCREMENTO (%)12</t>
  </si>
  <si>
    <t>Sin proyecto13</t>
  </si>
  <si>
    <t>Con proyecto14</t>
  </si>
  <si>
    <t>Incremento (S/)15</t>
  </si>
  <si>
    <t>Incremento (%)16</t>
  </si>
  <si>
    <t>PDT</t>
  </si>
  <si>
    <t>PRODUCCION Y PRODUCTIVIDAD</t>
  </si>
  <si>
    <t>MANEJO Y SELECCIÃ“N GANADERA</t>
  </si>
  <si>
    <t>APURIMAC</t>
  </si>
  <si>
    <t>Exitoso</t>
  </si>
  <si>
    <t>VIVIENDA RURAL</t>
  </si>
  <si>
    <t>Poco Exitoso</t>
  </si>
  <si>
    <t>SEGURIDAD ALIMENTARIA</t>
  </si>
  <si>
    <t>GALLINAS DE POSTURA</t>
  </si>
  <si>
    <t>0009-PDT-2015</t>
  </si>
  <si>
    <t>CULTIVOS Y CRIANZAS DE SUBSISTENCIA</t>
  </si>
  <si>
    <t>PDN</t>
  </si>
  <si>
    <t>AGRICOLA</t>
  </si>
  <si>
    <t>FRUTALES</t>
  </si>
  <si>
    <t>PECUARIO</t>
  </si>
  <si>
    <t>CRIANZA DE CUYES</t>
  </si>
  <si>
    <t>PRODUCTOS ORGANICOS</t>
  </si>
  <si>
    <t>QUINUA ORGÃNICA</t>
  </si>
  <si>
    <t>ANDAHUAYLAS</t>
  </si>
  <si>
    <t>AGROINDUSTRIA</t>
  </si>
  <si>
    <t>CRIANZA DE PORCINOS</t>
  </si>
  <si>
    <t>0026-PDN-2015</t>
  </si>
  <si>
    <t>ASOCIACION DE PRODUCTORES AGROPECUARIOS DE VALLE DE TOXAMA</t>
  </si>
  <si>
    <t>FORTALECIMIENTO DE LAS CAPACIDADES PARA EL MEJORAMIENTO DE LA CRIANZA DE PORCINOS</t>
  </si>
  <si>
    <t>ANDARAPA</t>
  </si>
  <si>
    <t>SAN MARTIN DE TOXAMA</t>
  </si>
  <si>
    <t>0027-PDN-2015</t>
  </si>
  <si>
    <t>ASOCIACION PRODUCTIVA AGROPECUARIA PAPAS NATIVAS DE LOS ANDES PUYHUALLA CENTRO</t>
  </si>
  <si>
    <t>FORTALECIMIENTO DE LAS CAPACIDADES PARA LA PRODUCCIÃ“N Y COMERCIALIZACIÃ“N DE PAPAS NATIVAS</t>
  </si>
  <si>
    <t>TUBERCULOS ANDINOS</t>
  </si>
  <si>
    <t>PUYHUALLA CENTRO</t>
  </si>
  <si>
    <t>Muy Exitoso</t>
  </si>
  <si>
    <t>0028-PDN-2015</t>
  </si>
  <si>
    <t>ASOCIACION DE PRODUCTORES AGROPECUARIOS Y CIVIL CERCADO ANDARAPA</t>
  </si>
  <si>
    <t>FORTALECIMIENTO DE LAS CAPACIDADES PARA EL INCREMENTO DE LA PRODUCCIÃ“N Y COMERCIALIZACIÃ“N DE HUEVO DE GALLINA DE CORRAL</t>
  </si>
  <si>
    <t>CRIANZA DE AVES DE CORRAL</t>
  </si>
  <si>
    <t>0029-PDT-2015</t>
  </si>
  <si>
    <t>COMUNIDAD CAMPESINA ANDARAPA ANEXO ANTACCOCHA</t>
  </si>
  <si>
    <t>MEJORAMIENTO DEL SISTEMA DE RIEGO TECNIFICADO PARA BIO HUERTO FAMILIAR</t>
  </si>
  <si>
    <t>HORTALIZAS</t>
  </si>
  <si>
    <t>ANTACCOCHA</t>
  </si>
  <si>
    <t>PDNC</t>
  </si>
  <si>
    <t>ALIMENTOS PROCESADOS</t>
  </si>
  <si>
    <t>CHINCHEROS</t>
  </si>
  <si>
    <t>0039-PDT-2015</t>
  </si>
  <si>
    <t>MANEJO DE LOS RECURSOS NATURALES</t>
  </si>
  <si>
    <t>MEJORAMIENTO DE SISTEMAS DE RIEGO POR ASPERSION</t>
  </si>
  <si>
    <t>0044-PDT-2015</t>
  </si>
  <si>
    <t>0045-PDT-2015</t>
  </si>
  <si>
    <t>HUARIBAMBA</t>
  </si>
  <si>
    <t>0049-PDT-2015</t>
  </si>
  <si>
    <t>COMUNIDAD CAMPESINA DE HUANCAS</t>
  </si>
  <si>
    <t>REFORESTACIÃ“N Y RECUPERACIÃ“N DE MANANTES DEL ANEXO DE CUNYARI</t>
  </si>
  <si>
    <t>PROTECCION DE MANANTES</t>
  </si>
  <si>
    <t>HUANCAS</t>
  </si>
  <si>
    <t>0050-PDT-2015</t>
  </si>
  <si>
    <t>COMUNIDAD CAMPESINA PISCOBAMBA - ANEXO CCOLLCCA</t>
  </si>
  <si>
    <t>CRIANZA DE GALLINAS PARA EL MEJORAMIENTO DE LA ALIMENTACIÃ“N DE LAS FAMILIAS DEL ANEXO CCOLLCCA</t>
  </si>
  <si>
    <t>OCOBAMBA</t>
  </si>
  <si>
    <t>PISCOBAMBA BAJA</t>
  </si>
  <si>
    <t>0052-PDN-2015</t>
  </si>
  <si>
    <t>ASOCIACIÓN LAS TRIUNFADORAS DE KAQUIABAMBA</t>
  </si>
  <si>
    <t>MEJORAMIENTO DE LA PRODUCCIÃ“N Y COMERCIALIZACIÃ“N DE AVES DE POSTURA</t>
  </si>
  <si>
    <t>KAQUIABAMBA</t>
  </si>
  <si>
    <t>DERIVADOS LACTEOS</t>
  </si>
  <si>
    <t>0054-PDT-2015</t>
  </si>
  <si>
    <t>0063-PDN-2015</t>
  </si>
  <si>
    <t>ASOCIACIÃ³N DE NUEVA FORTALEZA MITOBAMBA</t>
  </si>
  <si>
    <t>MEJORAMIEBNTO DE LA PRODUCCIÃ“N Y COMERCIALIZACIÃ“N DE CUYES</t>
  </si>
  <si>
    <t>MITOBAMBA</t>
  </si>
  <si>
    <t>0065-PDN-2015</t>
  </si>
  <si>
    <t>ASOCIACIÃ³N JUAN VELASCO ALVARADO DEL DISTRITO DE ANDARAPA AJVADA</t>
  </si>
  <si>
    <t>FORTALECIMIENTO DE LAS CAPACIDADES PARA EL MEJORAMIENTO DE LA CRIANZA Y COMERCIALIZACIÃ“N DE PORCINOS</t>
  </si>
  <si>
    <t>HUAYAUPAMPA</t>
  </si>
  <si>
    <t>0067-PDT-2015</t>
  </si>
  <si>
    <t>COMUNIDAD CAMPESINA HUALLAHUAYOCC, ANEXO NUEVA ESPERANZA DE MARCOCCASA</t>
  </si>
  <si>
    <t>MEJORAMIENTO DEL SISTEMA DE AGUA POTABLE</t>
  </si>
  <si>
    <t>SISTEMA ELEMENTAL DE AGUA PARA CONSUMO HUMANO</t>
  </si>
  <si>
    <t>HUALLHUAYOCC</t>
  </si>
  <si>
    <t>0068-PDN-2015</t>
  </si>
  <si>
    <t>ASOCIACIÃ³N DE GANADEROS AGROPECUARIOS SANTA ROSA DE KAQUIABAMBA</t>
  </si>
  <si>
    <t>MEJORAMIENTO DE LA PRODUCCIÃ“N Y COMERCIALIZACIÃ“N DE LECHE FRESCA</t>
  </si>
  <si>
    <t>0079-PDN-2015</t>
  </si>
  <si>
    <t>CRIANZA DE OVINOS</t>
  </si>
  <si>
    <t>CRIANZA DE VACUNOS</t>
  </si>
  <si>
    <t>PAPA NATIVA</t>
  </si>
  <si>
    <t>CEREALES ANDINOS</t>
  </si>
  <si>
    <t>0089-PDN-2015</t>
  </si>
  <si>
    <t>ASOCIACION DE PRODUCTORES DE GANADO LECHERO VIRGEN DEL CARMEN - KAQUIABAMBA APROGLEVCAK</t>
  </si>
  <si>
    <t>MEJORAMIENTO DE LA PRODUCCIÃ“N Y COMERCIALIZACIÃ“N DE GANADO VACUNO LECHERO</t>
  </si>
  <si>
    <t>0111-PDN-2015</t>
  </si>
  <si>
    <t>ASOCIACIÓN CIVIL NIÑO JESÚS DE PUYHUALLA CENTRO</t>
  </si>
  <si>
    <t>FORTALECIMIENTO DE LAS CAPACIDADES PARA LA PRODUCCIÃ“N Y COMERCIALIZACIÃ“N DE CUYES</t>
  </si>
  <si>
    <t>0112-PDN-2015</t>
  </si>
  <si>
    <t>ASOCIACIÓN DE PRODUCTORES AGROPECUARIOS VALLE DE PULCAY Y PARCCO</t>
  </si>
  <si>
    <t>MEJORAMIENTO DE LA PRODUCCIÃ“N Y COMERCIALIZACIÃ“N DE PROCESAMIENTO DE CAÃ‘A DE AZÃšCAR</t>
  </si>
  <si>
    <t>HUACCANA</t>
  </si>
  <si>
    <t>0113-PDN-2015</t>
  </si>
  <si>
    <t>ASOCIACIÓN DE PRODUCTORES AGROPECUARIOS MICRO CUENCA APU CUCAS DE SAN JUAN TRIBOL APAMCAC</t>
  </si>
  <si>
    <t>FORTALECIMIENTO DE CAPACIDADES PARA LA PRODUCCIÃ“N Y COMERCIALIZACIÃ“N DE GRANOS ANDINOS</t>
  </si>
  <si>
    <t>0116-PDN-2015</t>
  </si>
  <si>
    <t>ASOCIACIÓN CULTURAL Y PRODUCTIVO ALLIN RURUQ - ACYPAR</t>
  </si>
  <si>
    <t>FORTALECIMIENTO DE LAS CAPACIDADES PARA LA PRODUCCIÃ“N Y COMERCIALIZACIÃ“N DE GRANOS ANDINOS</t>
  </si>
  <si>
    <t>0123-PDN-2015</t>
  </si>
  <si>
    <t>COOPERATIVA AGRARIA LOS CHANKAS CAGCH</t>
  </si>
  <si>
    <t>FORTALECIMIENTO DE CAPACIDADES PARA LA PRODUCCIÃ“N Y COMERCIALIZACIÃ“N ORGÃNICA DE LA QUINUA, KIWICHA Y CHIA EN LAS COMUNIDADES DE HUAMPICA, HUANCAS Y CHUSPI CHAMANA</t>
  </si>
  <si>
    <t>0127-PDN-2015</t>
  </si>
  <si>
    <t>0128-PDN-2015</t>
  </si>
  <si>
    <t>0129-PDN-2015</t>
  </si>
  <si>
    <t>0130-PDN-2015</t>
  </si>
  <si>
    <t>0135-PDN-2015</t>
  </si>
  <si>
    <t>MEJORAMIENTO DE LA PRODUCCION Y COMERCIALIZACION DE CUYES</t>
  </si>
  <si>
    <t>MEJORAMIENTO DE LA PRODUCCION Y COMERCIALIZACION DE CERDOS</t>
  </si>
  <si>
    <t>0164-PDN-2015</t>
  </si>
  <si>
    <t>ASOCIACION LOS PRODUCTORES AGROPECUARIOS SEÃ‘OR DE HUANCA CHANTA UMACA</t>
  </si>
  <si>
    <t>CULTIVOS TRADICIONALES ANDINOS</t>
  </si>
  <si>
    <t>0180-PDN-2015</t>
  </si>
  <si>
    <t>ASOCIACION DE PRODUCTORES AGROPECUARIOS APU CUMO RUMI DE SANTA ROSA DE ILLAHUASI</t>
  </si>
  <si>
    <t>MEJORAMIENTO DEL NIVEL DE PRODUCCION EN LA CRIANZA DE GANADO LECHERO Y SUS DERIVADOS</t>
  </si>
  <si>
    <t>ILLAHUASI</t>
  </si>
  <si>
    <t>0181-PDN-2015</t>
  </si>
  <si>
    <t>ASOCIACION CIVIL DE ILLAHUASI</t>
  </si>
  <si>
    <t>0185-PDN-2015</t>
  </si>
  <si>
    <t>ASOCIACION DE PRODUCTORES AGROPECUARIOS TRES DE MAYO DE CCAYHUAYOCC</t>
  </si>
  <si>
    <t>FORTALECIMIENTO DE LAS CAPACIDADES PARA LA PRODUCCIÃ“N Y COMERCIALIZACIÃ“N DE GANADO OVINO</t>
  </si>
  <si>
    <t>CAYHUAYOC</t>
  </si>
  <si>
    <t>0186-PDN-2015</t>
  </si>
  <si>
    <t>ASOCIACIÓN DE PRODUCTORES AGROPECUARIOS Y CIVIL NUEVO HORIZONTE DE COTABAMBA</t>
  </si>
  <si>
    <t>MEJORAMIENTO DE PRODUCCION DE LA CRIANZA DE GANADO VACUNO LECHERO Y LA COMERCIALIZACIÃ“N DE DERIVADOS LÃCTEOS</t>
  </si>
  <si>
    <t>COTABAMBA</t>
  </si>
  <si>
    <t>SANTA ROSA</t>
  </si>
  <si>
    <t>0200-PDN-2015</t>
  </si>
  <si>
    <t>ASOCIACION DE PRODUCTORES AGROPECUARIOS MOLIDOS THALIA</t>
  </si>
  <si>
    <t>MEJORAMIENTO DE LA PRODUCCION Y COMERCIALIZACION DE HARINAS</t>
  </si>
  <si>
    <t>0209-PDNC-2015</t>
  </si>
  <si>
    <t>ASOCIACION DE PRODUCTORES AGROPECUARIOS VALLE DE COCAS - HUAMPICA</t>
  </si>
  <si>
    <t>FORTALECIMIENTO DE CAPACIDADES EN DERIVADOS DE KIWICHA</t>
  </si>
  <si>
    <t>HUAMPICA</t>
  </si>
  <si>
    <t>0012-PDNC-2015</t>
  </si>
  <si>
    <t>0017-PDT-2015</t>
  </si>
  <si>
    <t>0018-PDT-2015</t>
  </si>
  <si>
    <t>0021-PDNC-2015</t>
  </si>
  <si>
    <t>CONSERVACION DE SUELOS</t>
  </si>
  <si>
    <t>0024-PDNC-2015</t>
  </si>
  <si>
    <t>0025-PDT-2015</t>
  </si>
  <si>
    <t>0026-PDT-2015</t>
  </si>
  <si>
    <t>0029-PDN-2015</t>
  </si>
  <si>
    <t>0034-PDT-2015</t>
  </si>
  <si>
    <t>0049-PDN-2015</t>
  </si>
  <si>
    <t>0053-PDT-2015</t>
  </si>
  <si>
    <t>0071-PDN-2015</t>
  </si>
  <si>
    <t>0073-PDN-2015</t>
  </si>
  <si>
    <t>0096-PDN-2015</t>
  </si>
  <si>
    <t>HUANCAVELICA</t>
  </si>
  <si>
    <t>USO DEL AGUA</t>
  </si>
  <si>
    <t>COMUNIDAD CAMPESINA SANTA CRUZ DE MILPO</t>
  </si>
  <si>
    <t>FORTALECIMIENTO DE CAPACIDADES TECNICO PRODUCTIVAS EN LA CRIANZA Y MANEJO DE GANADO OVINO EN LA COMUNIDAD CAMPESINA DE SANTA CRUZ DE MILPO, DISTRITO DE CHINCHIHUASI, PROVINCIA DE CHURCAMPA, REGIÃ“N DE HUANCAVELICA</t>
  </si>
  <si>
    <t>CHURCAMPA</t>
  </si>
  <si>
    <t>CHINCHIHUASI</t>
  </si>
  <si>
    <t>MILPO</t>
  </si>
  <si>
    <t>ASOCIACION DE PRODUCTORES AGROPECUARIOS E INDUSTRIALES NUEVO AMANECER DEL PERU</t>
  </si>
  <si>
    <t>FORTALECIMIENTO DEL MANEJO DE ENGORDE Y COMERCIALIZACIÃ“N DE GANADO VACUNO</t>
  </si>
  <si>
    <t>TAYACAJA</t>
  </si>
  <si>
    <t>TAPO/TAPU</t>
  </si>
  <si>
    <t>COMUNIDAD CAMPESINA DE VISTA ALEGRE</t>
  </si>
  <si>
    <t>FORTALECIMIENTO DE CAPACIDADES PRODUCTIVAS DE CAMPO SEMILLERO DE PAPA NATIVA Y CRIANZA DE CUYES PARA LA SEGURIDAD ALIMENTARIA EN LA COMUNIDAD CAMPESINA DE VISTA ALEGRE, DISTRITO DE PAZOS, PROVINCIA DE TAYACAJA, REGION HUANCAVELICA</t>
  </si>
  <si>
    <t>PAZOS</t>
  </si>
  <si>
    <t>VISTA ALEGRE</t>
  </si>
  <si>
    <t>COMUNIDAD CAMPESINA SAN JUAN DE CHILCAPATA</t>
  </si>
  <si>
    <t>FORTALECIMIENTO DE CAPACIDADES EN EL MEJOR MANEJO DE LOS RECURSOS NATURALES E INSTALACIONES DE RIEGO TECNIFICADO EN LA COMUNIDAD CAMPESINA DE SAN JUAN DE CHILCAPATA, DISTRITO DE CHINCHIHUASI, PROVINCIA DE CHURCAMPA, REGIÃ“N DE HUANCAVELICA</t>
  </si>
  <si>
    <t>SAN JUAN DE CHILCAPATA</t>
  </si>
  <si>
    <t>ASOCIACION DE PRODUCTORES AGROPECUARIOS GANACCUNA DE ANTIPHUASIN</t>
  </si>
  <si>
    <t>MEJORAMIENTO DE PRODUCCION Y COMERCIALIZACION DE MAIZ CARHUAY</t>
  </si>
  <si>
    <t>ANTIPAHUASIN</t>
  </si>
  <si>
    <t>MEJORAMIENTO DE LA PRODUCCION Y COMERCIALIZACION DE MAIZ AMILACEO</t>
  </si>
  <si>
    <t>ASOCIACION DE PRODUCTORES AGROPECUARIOS BARRIO CENTRO DE PICHOS</t>
  </si>
  <si>
    <t>PICHUS</t>
  </si>
  <si>
    <t>COMUNIDAD CAMPESINA DE TUPAC AMARU DE PISCOS</t>
  </si>
  <si>
    <t>FORTALECIMIENTO DE CAPACIDADES PARA LA CRIANZA DE CUYES EN EL ANEXO DE TÃšPAC AMARU DE PISCOS, DE LA COMUNIDAD CAMPESINA DE TÃšPAC AMARU DE PISCOS CONSTANZA - SACHARACCAY, DISTRITO DE SAN PEDRO DE CORIS, PROVINCIA DE CHURCAMPA, REGIÃ“N HUANCAVELICA</t>
  </si>
  <si>
    <t>SAN PEDRO DE CORIS</t>
  </si>
  <si>
    <t>TUPAC AMARU DE PISCOS</t>
  </si>
  <si>
    <t>COMUNIDAD CAMPESINA OXAPATA</t>
  </si>
  <si>
    <t>FORTALECIMIENTO DE CAPACIDADES TÃ‰CNICO PRODUCTIVAS EN LA CRIANZA Y MANEJO DE GANADO OVINO EN LA COMUNIDAD CAMPESINA DE OXAPATA, DISTRITO DE SAN PEDRO DE CORIS, PROVINCIA DE CHURCAMPA, REGIÃ“N HUANCAVELICA</t>
  </si>
  <si>
    <t>OXAPATA</t>
  </si>
  <si>
    <t>ASOCIACION DE PRODUCTORES AGROPECUARIOS NUEVO AMANECER DE PARIAC</t>
  </si>
  <si>
    <t>MEJORAMIENTO DE LA PRODUCCIÃ“N Y COMERCIALIZACIÃ“N DE LA PAPA NATIVA CON VALOR AGREGADO</t>
  </si>
  <si>
    <t>PARIAC</t>
  </si>
  <si>
    <t>COMUNIDAD CAMPESINA DE CHUQUITAMBO</t>
  </si>
  <si>
    <t>FORTALECIMIENTO DE LA SEGURIDAD ALIMENTARIA MEDIANTE EL APROVECHAMIENTO DEL DERIVADO DE LA PAPA, EN LA COMUNIDAD CAMPESINA DE CHUQUITAMBO, DISTRITO DE PAZOS, PROVINCIA DE TAYACAJA, REGIÃ“N HUANCAVELICA</t>
  </si>
  <si>
    <t>CHUQUITAMBO</t>
  </si>
  <si>
    <t>COMUNIDAD CAMPESINA DE TONGOS</t>
  </si>
  <si>
    <t>FORTALECIMIENTO DE CAPACIDADES PARA EL APROVECHAMIENTO DEL RECURSO HÃDRICO A TRAVÃ‰S DE LA CRIANZA DE TRUCHAS EN LA COMUNIDAD CAMPESINA DE TONGOS, DISTRITO DE PAZOS, PROVINCIA DE TAYACAJA, REGIÃ“N HUANCAVELICA</t>
  </si>
  <si>
    <t>TONGOS</t>
  </si>
  <si>
    <t>COMUNIDAD CAMPESINA DE ILLPE JAMPATO PATIBAMBA</t>
  </si>
  <si>
    <t>FORTALECIMIENTO DE CAPACIDADES PARA EL MANEJO DEL SISTEMA DE RIEGO TECNIFICADO EN EL ANEXO DE PATIBAMBA DE LA COMUNIDAD CAMPESINA DE ILLPE JAMPATO PATIBAMBA, DISTRITO DE PACHAMARCA, PROVINCIA DE CHURCAMPA, REGIÃ“N HUANCAVELICA</t>
  </si>
  <si>
    <t>PACHAMARCA</t>
  </si>
  <si>
    <t>PATIBAMBA</t>
  </si>
  <si>
    <t>COMUNIDAD CAMPESINA SAN PEDRO DE CORIS</t>
  </si>
  <si>
    <t>FORTALECIMIENTO DE CAPACIDADES PARA EL MANEJO Y CONSERVACIÃ“N DE RECURSOS FORESTALES EN LA COMUNIDAD CAMPESINA DE SAN PEDRO DE CORIS</t>
  </si>
  <si>
    <t>ASOCIACION DE PRODUCTORES AGROPECUARIOS CHANCHAS-MANTACRA</t>
  </si>
  <si>
    <t>MEJORAMIENTO Y COMERCIALIZACIÃ“N DE FRUTALES ANDINOS USANDO TECNOLOGÃA ORGÃNICA Y CUBRIR MERCADOS LOCALES</t>
  </si>
  <si>
    <t>PAMPAS</t>
  </si>
  <si>
    <t>MANTACRA</t>
  </si>
  <si>
    <t>COMUNIDAD CAMPESINA DE CCARHUANCHO - SECTOR UCTUBAMBA</t>
  </si>
  <si>
    <t>FORTALECIMIENTO DE CAPACIDADES PARA EL MANEJO DEL SISTEMA DE RIEGO PRESURIZADO EN EL SECTOR DE UTCUBAMBA DE LA COMUNIDAD CAMPESINA DE CCARHUANCHO, DISTRITO DE SAN PEDRO DE CORIS, PROVINCIA DE CHURCAMPA, REGIÃ“N HUANCAVELICA</t>
  </si>
  <si>
    <t>CARHUANCHO</t>
  </si>
  <si>
    <t>COMUNIDAD CAMPESINA DE PAZOS</t>
  </si>
  <si>
    <t>FORTALECIMIENTO DE CAPACIDADES TECNICAS PRODUCTIVAS CON LA INSTALACION DE INVERNADERO PARA PRODUCCION DE SEMILLA DE PAPA NATIVA EN LA COMUNIDAD CAMPESINA DE PAZOS, DISTRITO DE PAZOS, PROVINCIA DE TAYACAJA, REGION HUANCAVELICA</t>
  </si>
  <si>
    <t>ASOCIACION DE PRODUCTORES AGROPECUARIOS PUEBLOS UNIDOS LA LIBERTAD - ACOSTAMBO</t>
  </si>
  <si>
    <t>MEJORAMIENTO DE LA PRODUCCIÃ“N Y COMERCIALIZACIÃ“N DE PAPA NATIVA PIGMENTADA</t>
  </si>
  <si>
    <t>ACOSTAMBO</t>
  </si>
  <si>
    <t>ASOCIACION DE PRODUCTORES AGROPECUARIOS FORESTALES NUEVO AMANECER DE AHUAYCHA, TAYACAJA - HUANCAVELI</t>
  </si>
  <si>
    <t>MEJORAMIENTO DE LA CRIANZA Y COMERCIALIZACIÃ“N DE CUY</t>
  </si>
  <si>
    <t>AHUAYCHA</t>
  </si>
  <si>
    <t>ASOCIACION DE PRODUCTORES AGROPECUARIOS SAN CRISTOBAL DE SECCEPIRI</t>
  </si>
  <si>
    <t>MEJORAMIENTO DE LA PRODUCCIÃ“N Y COMERCIALIZACIÃ“N DE PAPA NATIVA CON VALOR AGREGADO</t>
  </si>
  <si>
    <t>SECCEPIRI</t>
  </si>
  <si>
    <t>MUJERES EMPRENDEDORAS MANANTIAL DE VIDA - CHURAMPI</t>
  </si>
  <si>
    <t>MEJORAMIENTO DE LA PRODUCCIÃ“N Y COMERCIALIZACIÃ“N DE DERIVADOS LÃCTEOS (YOGURT, MANJAR BLANCO Y QUESO)</t>
  </si>
  <si>
    <t>CHURAMPI</t>
  </si>
  <si>
    <t>0120-PDN-2015</t>
  </si>
  <si>
    <t>ASOCIACION DE PRODUCTORAS Y PRODUCTORES AGROPECUARIOS MOSSOC KAUSET DE MILPO</t>
  </si>
  <si>
    <t>MEJORAMIENTO DE LA PRODUCCION Y COMERCIALIZACION DE QUESO ASOCIACION DE PRODUCTORAS Y PRODUCTORES AGROPECUARIOS MOSSOC KAUSET DE MILPO</t>
  </si>
  <si>
    <t>ASOCIACION DE PRODUCTORES AGROPECUARIOS DE PAZOS</t>
  </si>
  <si>
    <t>MEJORAMIENTO DE LA PRODUCCION Y COMERCIALIZACION DE LA PAPA NATIVA CON VALORA AGREGADO EN LA ASOCIACION DE PRODUCTORES DE PAZOS DEL GOP ASOCIACION DE PRODUCTORES AGROPECUARIOS DE PAZOS DE LA LOCALIDAD DE MULLACA PROVINCIA DE TAYACAJA Y DEPARTAMENTO DE HUANCAVELICA</t>
  </si>
  <si>
    <t>ASOCIACION DE PRODUCTORES AGROPECUARIOS CHONGOPUQUIO PERUVISA - ACOSTAMBO</t>
  </si>
  <si>
    <t>MEJORAMIENTO DE LA PRODUCCION Y COMERCIALIZACION DE PORCINOS DE LA ASOCIACION DE PRODUCTORES AGROPECUARIOS CHONGOPUQUIO PERUVISA - ACOSTAMBO, DISTRITO DE ACOSTAMBO, PROVINCIA DE TAYACAJA Y REGION HUANCAVELICA</t>
  </si>
  <si>
    <t>ASOCIACION DE PRODUCTORES Y PRODUCTORAS AGROPECUARIOS NUEVA FORTALEZA DE ACLLAHUASI</t>
  </si>
  <si>
    <t>FORTALECIMIENTO INTEGRAL DE GANADO VACUNO LECHERO EN LA ASOCIACION DE PRODUCTORES Y PRODUCTORAS AGROPECUARIOS NUEVA FORTALEZA DE ACLLAHUASI, DE LA COMUNIDAD DE ACLLAHUASI, DISTRITO DE PAUCARBAMBA, PROVINCIA DE CHURCAMPA Y DEPARTAMENTO DE HUANCAVELICA</t>
  </si>
  <si>
    <t>PAUCARBAMBA</t>
  </si>
  <si>
    <t>ACLLAHUASI</t>
  </si>
  <si>
    <t>ASOCIACION DE PRODUCTORES AGROGANADERO DEL CENTRO POBLADO DE SANTA ROSA DE PINCO-PAUCARBAMBA</t>
  </si>
  <si>
    <t>MEJORAMIENTO DE LA CAPACIDAD PRODUCTIVA DEL MAIZ TIPO ASTILLA AMARILLO PARA LA ASOCIACION DE PRODUCTORES AGROGANADERO DEL CENTRO POBLADO DE SANTA ROSA DE PINCO DEL DISTRITO DE PAUCARBAMBA, PROVINCIA DE CHURCAMPA DEPARTAMENTO DE HUANCAVELICA</t>
  </si>
  <si>
    <t>SANTA ROSA DE PINCO</t>
  </si>
  <si>
    <t>ASOCIACION DE PRODUCTORES NUEVO AMANECER CENTRO B</t>
  </si>
  <si>
    <t>MEJORAMIENTO DE LA PRODUCCION Y COMERCIALIZACION DE MAIZ CON VALOR AGREGADO EN LA ASOCIACION DE PRODUCTORES NUEVO AMANECER B</t>
  </si>
  <si>
    <t>0137-PDN-2015</t>
  </si>
  <si>
    <t>ASOCIACION DE PRODUCTORES AGROPECUARIOS Y AGROPECUARIAS VILLA ANDABAMBA</t>
  </si>
  <si>
    <t>MEJORAMIENTO DE LA PRODUCCION Y COMERCIALIZACION DE LA LECHE FRESCA Y DERIVADOS (QUESO Y YOGURT)</t>
  </si>
  <si>
    <t>0138-PDN-2015</t>
  </si>
  <si>
    <t>ASOCIACION DE PRODUCTORES AGROPECUARIOS Y DERIVADOS SANTA ROSA DE LIMA DEL ANEXO SANTA ROSA</t>
  </si>
  <si>
    <t>MEJORAMIENTO DE LA PRODUCCION Y COMERCIALIZACION DE LACTEOS "QUESO Y YOGURT"</t>
  </si>
  <si>
    <t>ACRAQUIA</t>
  </si>
  <si>
    <t>0139-PDN-2015</t>
  </si>
  <si>
    <t>ASOCIACION DE PRODUCTORES Y PRODUCTORAS AGROPECUARIAS MANANTIALES DE HUAYHUARA</t>
  </si>
  <si>
    <t>MEJORAMIENTO DE LA PRODUCCION Y COMERCIALIZACION DE LA LECHE Y DERIVADOS (QUESO Y YOGURT)</t>
  </si>
  <si>
    <t>UCHUY CRUZ</t>
  </si>
  <si>
    <t>JUNIN</t>
  </si>
  <si>
    <t>13,583 familias</t>
  </si>
  <si>
    <t>PDN+PDNC+PDT</t>
  </si>
  <si>
    <t>PDN+PDT</t>
  </si>
  <si>
    <t>PDN+PDNC</t>
  </si>
  <si>
    <t>SOLO: PDN</t>
  </si>
  <si>
    <t xml:space="preserve">21,560 familias </t>
  </si>
  <si>
    <t>SOLO PDT</t>
  </si>
  <si>
    <t>Etiquetas de fila</t>
  </si>
  <si>
    <t>Total general</t>
  </si>
  <si>
    <t>Etiquetas de columna</t>
  </si>
  <si>
    <t xml:space="preserve">
Puntaje</t>
  </si>
  <si>
    <t>Aliados II</t>
  </si>
  <si>
    <t>En especie</t>
  </si>
  <si>
    <t>En efectivo</t>
  </si>
  <si>
    <t>Distrito</t>
  </si>
  <si>
    <t>Provincia</t>
  </si>
  <si>
    <t>Usuarios</t>
  </si>
  <si>
    <t>DPTO</t>
  </si>
  <si>
    <t xml:space="preserve">RENDICION DE FONDOS </t>
  </si>
  <si>
    <t>GRUPOS ORGANIZADOS ATENDIDOS CON EL PROYECTO ALIADOS II EN EL AMBITO DEL PDTS - VRAEM</t>
  </si>
  <si>
    <t>FONDO CONCURSABLE</t>
  </si>
  <si>
    <t>SNIP</t>
  </si>
  <si>
    <t>Proyecto</t>
  </si>
  <si>
    <t>COMPONENTE</t>
  </si>
  <si>
    <t>ESTADO</t>
  </si>
  <si>
    <t>APORTE ALIADOS</t>
  </si>
  <si>
    <t>APORTE BENEFICIARIOS</t>
  </si>
  <si>
    <t>OTROS APORTES</t>
  </si>
  <si>
    <t>MONTO TOTAL</t>
  </si>
  <si>
    <t>2008-1</t>
  </si>
  <si>
    <t>NR</t>
  </si>
  <si>
    <t>LIQUIDADO</t>
  </si>
  <si>
    <t>2009-1</t>
  </si>
  <si>
    <t>2009-2</t>
  </si>
  <si>
    <t>2010-1</t>
  </si>
  <si>
    <t>2010-2</t>
  </si>
  <si>
    <t>2011-1</t>
  </si>
  <si>
    <t>DC</t>
  </si>
  <si>
    <t>112374</t>
  </si>
  <si>
    <t>INSTALACIÓN  DEL SISTEMA  DE  RIEGO  POR ASPERSIÓN  EN LA COMUNIDAD  CAMPESINA PUYHUALLA ALTA - ANDARAPA - ANDAHUAYLAS -  APURÍMAC</t>
  </si>
  <si>
    <t>112380</t>
  </si>
  <si>
    <t>INSTALACIÓN DEL SISTEMA DE RIEGO POR ASPERSIÓN EN EL ANEXO PUEBLO LIBRE, COMUNIDAD CAMPESINA PUYHUALLA ALTA - ANDARAPA - ANDAHUAYLAS – APURÍMAC</t>
  </si>
  <si>
    <t>112441</t>
  </si>
  <si>
    <t>FORTALECIMIENTO DE CAPACIDADES PRODUCTIVAS EN LA CRIANZA DE GALLINAS DE POSTURA CON LAS FAMILIAS DE ANEXO 2 DE MAYO, COMUNIDAD CAMPESINA DE HUANCAS - ANDARAPA - ANDAHUAYLAS - APURIMAC.</t>
  </si>
  <si>
    <t>112449</t>
  </si>
  <si>
    <t>FORTALECIMIENTO DE CAPACIDADES PRODUCTIVAS EN LA CRIANZA DE GALLINAS DE POSTURA CON FAMILIAS DE LA COMUNIDAD CAMPESINA HUANCAS  -  ANDARAPA -  ANDAHUAYLAS -  APURÍMAC</t>
  </si>
  <si>
    <t>128816</t>
  </si>
  <si>
    <t>FORTALECIMIENTO DE CAPACIDADES PARA EL MANEJO Y PRODUCCIÓN DE FRUTALES EN EL ANEXO CENTRO UMACA DE LA COMUNIDAD CAMPESINA DE ANDARAPA- ANDAHUAYLAS- APURIMAC</t>
  </si>
  <si>
    <t>128886</t>
  </si>
  <si>
    <t>FORESTACIÓN CON PLANTAS NATIVAS Y MEJORA DE LA PRODUCCIÓN DE LA TARA DE LA COMUNIDAD CAMPESINA DE CHANTA UMACA-ANDARAPA -ANDAHUAYLAS-APURIMAC</t>
  </si>
  <si>
    <t>128922</t>
  </si>
  <si>
    <t>IMPLEMENTACIÓN DE MODULOS DE RIEGO TECNIFICADO POR ASPERSION E INSTALACION DE PASTOS MEJORADOS EN LA COMUNIDAD DE HUALLHUAYOCC- ANDARAPA- ANDAHUAYLAS- APURIMAC.</t>
  </si>
  <si>
    <t>128926</t>
  </si>
  <si>
    <t>IMPLEMENTACION DE MODULOS DE RIEGO TECNIFICADO PARA MEJORAR LA PRODUCCION Y LA COMERCIALIZACION DE PALTOS, MANGO Y TARA EN LA COMUNIDAD CAMPESINA DE HUAMPICA-ANDARAPA- ANDAHUAYLAS-APURIMAC.</t>
  </si>
  <si>
    <t>128929</t>
  </si>
  <si>
    <t>IMPLEMENTACION DE MODULOS DE RIEGO TECNIFICADO EN LA COMUNIDAD CAMPESINA DE PUYHUALLA CENTRO- ANDARAPA-ANDAHUAYLAS- APURIMAC.</t>
  </si>
  <si>
    <t>130033</t>
  </si>
  <si>
    <t>FORTALECIMIENTO DE LAS CAPACIDADES EN EL MANEJO INTEGRAL DE LOS RECURSOS NATURALES Y LA MEJORA DE VIVIENDAS EN EL ANEXO VILLA REAL DE LA COMUNIDAD CAMPESINA DE CHANTA UMACA - ANDARAPA - ANDAHUAYLAS - ANDAHUAYLAS</t>
  </si>
  <si>
    <t>158944</t>
  </si>
  <si>
    <t>FORTALECIMIENTO DE CAPACIDADES PARA MEJORAR LA PRODUCCIÓN DE PALTO CON 40 FAMILIAS EN EL ANEXO DE SAN MARTIN DE TOXAMA COMUNIDAD CAMPESINA DE ANDARAPA - ANDARAPA - ANDAHUAYLAS - APURÍMAC</t>
  </si>
  <si>
    <t>159170</t>
  </si>
  <si>
    <t>FORTALECIMIENTO DE CAPACIDADES PRODUCTIVAS EN LA CRIANZA DE GALLINAS DE POSTURA CON 40 FAMILIAS EN EL ANEXO DE LA MERCED DEL COMUNIDAD CAMPESINA DE CHANTA UMACA - ANDARAPA - ANDAHUAYLAS - APURÍMAC</t>
  </si>
  <si>
    <t>158987</t>
  </si>
  <si>
    <t>IMPLEMENTACIÓN DE MÓDULOS DE RIEGO TECNIFICADO PARA LA PRODUCCIÓN DE PASTOS MEJORADOS EN EL ANEXO DE COTABAMBA DE LA COMUNIDAD CAMPESINA DE ANDARAPA - ANDARAPA ANDAHUAYLAS - APURÍMAC</t>
  </si>
  <si>
    <t>158976</t>
  </si>
  <si>
    <t>FORTALECIMIENTO DE LA PRODUCCIÓN DE CUYES Y CULTIVO DE PASTOS MEJORADOS EN LAS FAMILIAS DE LA COMUNIDAD CAMPESINA DE ILLAHUASI - ANDARAPA - ANDAHUAYLAS - APURÍMAC</t>
  </si>
  <si>
    <t>166521</t>
  </si>
  <si>
    <t>FORTALECIMIENTO DE CAPACIDADES PRODUCTIVAS EN LA CRIANZA DE GALLINAS DE POSTURA CON LAS FAMILIAS DEL ANEXO DE PUEBLO LIBRE, COMUNIDAD CAMPESINA DE ILLAHUASI, DISTRITO DE ANDARAPA, PROVINCIA DE ANDAHUAYLAS, REGIÓN DE APURÍMAC</t>
  </si>
  <si>
    <t>166523</t>
  </si>
  <si>
    <t>FORTALECIMIENTO DE LA PRODUCCIÓN DE FRUTALES MEJORADAS CON PALTO FUERTE Y HASS EN LAS FAMILIAS DEL ANEXO DE CHUSPÍ CHAMANA DE LA COMUNIDAD CAMPESINA DE ANDARAPA DEL DISTRITO DE ANDARAPA, PROVINCIA DE ANDAHUAYLAS, REGION APURIMAC</t>
  </si>
  <si>
    <t>166292</t>
  </si>
  <si>
    <t>MEJORAMIENTO DE LA PRODUCCION DE PAPA ORGANICA EN EL ANEXO SAN JUAN DE MIRAFLORES, DE LA COMUNIDAD CAMPESINA TOXAMA, DISTRITO ANDARAPA, PROVINCIA ANDAHUAYLAS, REGION APURIMAC</t>
  </si>
  <si>
    <t>166246</t>
  </si>
  <si>
    <t>FORTALECIMIENTO DE CAPACIDADES PRODUCTIVAS EN LA CRIANZA DE GALLINAS DE POSTURA CON FAMILIAS DE LA COMUNIDAD CAMPESINA DE ANDARAPA, DISTRITO DE ANDARAPA, PROVINCIA DE ANDAHUAYLAS, REGION APURIMAC</t>
  </si>
  <si>
    <t>166270</t>
  </si>
  <si>
    <t>FORTALECIMIENTO DE LA CAPACIDAD PRODUCTIVA EN LA CRIANZA DE CUYES Y PRODUCCION DE COMPOST, EN EL ANEXO SANTA ROSA, COMUNIDAD CAMPESINA ILLAHUASI, DISTRITO DE ANDARAPA, PROVINCIA DE ANDAHUAYLAS, REGION APURIMAC</t>
  </si>
  <si>
    <t>166050</t>
  </si>
  <si>
    <t>MEJORAMIENTO DE LA CRIANZA DE CUYES EN LAS FAMILIAS DEL ANEXO CCOLLCCA DE LA COMUNIDAD CAMPESINA DE PUYHUALLA CENTRO, DISTRITO ANDARAPA, PROVINCIA ANDAHUAYLAS, REGIÓN APURÍMAC</t>
  </si>
  <si>
    <t>166053</t>
  </si>
  <si>
    <t>MEJORAMIENTO DE LA CRIANZA DE GALLINAS Y VIVIENDAS SALUDABLES EN EL ANEXO TURPOSINA, COMUNIDAD CAMPESINA DE HUAYHUALLOCC, DISTRITO DE ANDARAPA, PROVINCIA ANDAHUAYLAS, REGION APURIMAC</t>
  </si>
  <si>
    <t>166417</t>
  </si>
  <si>
    <t>FORTALECIMIENTO DE CAPACIDADES PRODUCTIVAS EN LA CRIANZA DE GALLINAS DE POSTURA CON FAMILIAS EN EL ANEXO OLORHUANCA DE LA COMUNIDAD CHANTA UMACA, DISTRITO DE ANDARAPA, PROVINCIA DE ANDAHUAYLAS, REGIÓN APURÍMAC</t>
  </si>
  <si>
    <t>166219</t>
  </si>
  <si>
    <t>FORTALECIMIENTO DE CAPACIDADES PRODUCTIVAS EN LA CRIANZA DE GALLINAS DE POSTURA CON FAMILIAS DEL ANEXO DE SAN JUAN DE TRÉBOL, COMUNIDAD CANPESINA DE HUANCAS, DISTRITO DE ANDARAPA, PROVINCIA DE ANDAHUAYLAS, REGION APURIMAC</t>
  </si>
  <si>
    <t>166283</t>
  </si>
  <si>
    <t>FORTALECIMIENTO DE CAPACIDADES PRODUCTIVAS EN LA CRIANZA DE GALLINAS Y PRODUCCION DE COMPOST EN EL ANEXO HUAYAUPAMPA, COMUNIDAD CAMPESINA ANDARAPA, PROVINCIA ANDAHUAYLAS, REGION APURIMAC</t>
  </si>
  <si>
    <t>194504</t>
  </si>
  <si>
    <t>MEJORAMIENTO DE LA PRODUCCION FRUTICOLA CON 40 FAMILIAS DE LA COMUNIDAD CAMPESINA DE TOXAMA, DISTRITO ANDARAPA, PROVINCIA ANDAHUAYLAS, REGION APURIMAC</t>
  </si>
  <si>
    <t>111752</t>
  </si>
  <si>
    <t>FORTALECIMIENTO E IMPLEMENTACIÓN DE PLANTA PASTEURIZADORA DE LECHE EN EL DISTRITO ANDARAPA, PROVINCIA ANDAHUAYLAS, REGIÓN APURIMAC</t>
  </si>
  <si>
    <t>111775</t>
  </si>
  <si>
    <t>PROCESAMIENTO Y COMERCIALIZACIÓN DE MANZANILLA NATURAL EXPORTABLE EN EL DISTRITO ANDARAPA, PROVINCIA ANDAHUAYLAS, REGIÓN APURIMAC</t>
  </si>
  <si>
    <t>128607</t>
  </si>
  <si>
    <t>MEJORAMIENTO EN LA COMERCIALIZACION DE GRANOS ANDINOS PROCESADOS EN LA ASOCIACIÓN DE PRODUCTORES AGROPECUARIOS DEL VALLE DE COCAS DE HUAMPICA DEL DISTRITO DE ANDARAPA, PROVINCIA DE ANDAHUAYLAS., REGION APURIMAC</t>
  </si>
  <si>
    <t>159139</t>
  </si>
  <si>
    <t>MEJORAMIENTO DE LA PRODUCCIÓN DE PALTA Y LÚCUMA EN LA COMUNIDAD CAMPESINA DE UMACA DISTRITO DE OCOBAMBA, PROVINCIA ANDAHUAYLAS, REGIÓN APURÍMAC</t>
  </si>
  <si>
    <t>PACOBAMBA</t>
  </si>
  <si>
    <t>128710</t>
  </si>
  <si>
    <t>FORTALECIMIENTO DE LA COMERCIALIZACION E IMPLEMENTACION DEL CENTRO DE ACOPIO DE PALTA DE LA ASOCIACION DE AGRICULTORES CUENCA PAMPAS - ACUPAS DE LA COMUNIDAD DE RIO BLANCO DEL DISTRITO DE HUACCANA, PROVINCIA DE CHINCHEROS, REGION APURIMAC.</t>
  </si>
  <si>
    <t>128744</t>
  </si>
  <si>
    <t>MEJORAMIENTO DE LA COMERCIALIZACION DE LA CARNE DE CUY DE LA ASOCIACIÓN DE PRODUCTORES DE CUY LOS AYLLUS DE HUACCANA, DE LA PROVINCIA DE CHINCHEROS, REGION APURIMAC.</t>
  </si>
  <si>
    <t>161605</t>
  </si>
  <si>
    <t>MEJORAMIENTO DE LA PRODUCCIÓN Y COMERCIALIZACIÓN DEL CUY DE LA ASOCIACION DE PRODUCTORES DE CUY AGRO NEGOCIOS, DISTRITO DE HUACCANA, PROVINCIA DE CHINCHEROS, REGIÓN APURIMAC</t>
  </si>
  <si>
    <t>160436</t>
  </si>
  <si>
    <t>MEJORAMIENTO DE LA PRODUCCION Y COMERCIALIZACIÓN DE LA PALTA DE LA ASOCIACIÓN DE DE PRODUCTORES AGROPECUARIOS ESCALON - APROAES - COMUNIDAD DE RÍO BLANCO DISTRITO DE HUACCANA PROVINCIA DE CHINCHEROS REGIÓN APURÍMAC</t>
  </si>
  <si>
    <t>128839</t>
  </si>
  <si>
    <t>FORTALECIMIENTO DE LAS CAPACIDADES PRODUCTIVAS PARA LA CRIANZA DE TRUCHAS DE LAS FAMILIAS DE LA COMUNIDAD CAMPESINA DE SOCCHA-OCOBAMBA- CHINCHEROS-APURIMAC</t>
  </si>
  <si>
    <t>128952</t>
  </si>
  <si>
    <t>MEJORAMIENTO DE LA CRIANZA DE CUYES EN LA COMUNIDAD CAMPESINA DE CARHUAYACO ALTO -OCOBAMBA-CHINCHEROS- APURÍMAC</t>
  </si>
  <si>
    <t>128958</t>
  </si>
  <si>
    <t>MEJORAMIENTO DE LA CRIANZA DE GANADO LECHERO EN COMUNIDAD CAMPESINA DE PISCOBAMBA BAJA -OCOBAMBA-CHINCHEROS- APURÍMAC</t>
  </si>
  <si>
    <t>159148</t>
  </si>
  <si>
    <t>MEJORAMIENTO DE LA CRIANZA Y PRODUCCIÓN DE TRUCHAS CON FAMILIAS EN LA COMUNIDAD CAMPESINA DE SOCCOS EDÉN DEL DISTRITO DE OCOBAMBA, PROVINCIA DE CHINCHEROS. REGIÓN APURÍMAC</t>
  </si>
  <si>
    <t>159120</t>
  </si>
  <si>
    <t>IMPLEMENTACIÓN DE MÓDULOS DE RIEGO TECNIFICADO CON FAMILIAS DEL ANEXO DE MAYHUAPATA DE LA COMUNIDAD CAMPESINA DE PISCOBAMBA, DISTRITO DE OCOBAMBA, PROVINCIA CHINCHEROS, REGIÓN APURÍMAC</t>
  </si>
  <si>
    <t>159158</t>
  </si>
  <si>
    <t>MEJORAMIENTO DE LA CRIANZA DE OVINOS EN EL ANEXO DE LOS ANGELES DE PISCOBAMBA, DISTRITO DE OCOBAMBA, PROVINCIA DE CHINCHEROS, REGIÓN APURÍMAC</t>
  </si>
  <si>
    <t>159143</t>
  </si>
  <si>
    <t>FORTALECIMIENTO DE LA PRODUCCIÓN DE MAÍZ AMILÁCEO EN LAS FAMILIAS DEL ANEXO ANANSAYOCC, COMUNIDAD CAMPESINA OCOBAMBA, DISTRITO OCOBAMBA, PROVINCIA CHINCHEROS, REGIÓN APURÍMAC</t>
  </si>
  <si>
    <t>158940</t>
  </si>
  <si>
    <t>FORTALECIMIENTO DE CAPACIDADES PRODUCTIVAS EN LA CRIANZA DE GANADO VACUNO DE LAS FAMILIAS DEL ANEXO PRIMERO DE MAYO, COMUNIDAD CAMPESINA OCOBAMBA, DISTRITO DE OCOBAMBA, PROVINCIA DE CHINCHEROS, REGIÓN APURÍMAC</t>
  </si>
  <si>
    <t>166823</t>
  </si>
  <si>
    <t>MEJORAMIENTO DE LA PRODUCCIÓN DE CAÑA DE AZÚCAR EN PERSPECTIVA DE MERCADO EN LA COMUNIDAD CAMPESINA LA ESMERALDA, DISTRITO OCOBAMBA, PROVINCIA CHINCHEROS, REGIÓN APURÍMAC</t>
  </si>
  <si>
    <t>166825</t>
  </si>
  <si>
    <t>MEJORAMIENTO DEL CULTIVO DE MANZANOS EN EL ANEXO TÚPAC AMARU, DE LA COMUNIDAD CAMPESINA DE OCOBAMBA, DISTRITO OCOBAMBA, PROVINCIA CHINCHEROS, REGIÓN APURÍMAC</t>
  </si>
  <si>
    <t>166818</t>
  </si>
  <si>
    <t>MEJORAMIENTO DE LA CRIANZA DE GANADO VACUNO LECHERO EN EL ANEXO ANANSAYOCC BAJO, COMUNIDAD CAMPESINA DE OCOBAMBA, DISTRITO OCOBAMBA, PROVINCIA CHINCHEROS, REGIÓN APURIMAC</t>
  </si>
  <si>
    <t>166302</t>
  </si>
  <si>
    <t>INCREMENTO DE LA PRODUCCIÓN Y COMERCIALIZACIÓN DEL CIRUELO, EN EL ANEXO CHALLHUANI DE LA COMUNIDAD CAMPESINA DE OCOBAMBA, DISTRITO DE OCOBAMBA, PROVINCIA DE CHINCHEROS, REGIÓN APURÍMAC.</t>
  </si>
  <si>
    <t>166299</t>
  </si>
  <si>
    <t>MEJORAMIENTO DE LA CRIANZA DE CUYES EN EL ANEXO DE NUEVA JERUSALÉN DE LA COMUNIDAD CAMPESINA DE PISCOBAMBA DEL DISTRITO OCOBAMBA, PROVINCIA DE CHINCHEROS, REGIÓN APURÍMAC</t>
  </si>
  <si>
    <t>166880</t>
  </si>
  <si>
    <t>MEJORAMIENTO DE LA CRIANZA DE GANADO VACUNO LECHERO EN EL ANEXO ATACCARA DE LA COMUNIDAD DE PISCOBAMBA, DISTRITO OCOBAMBA PROVINCIA CHINCHEROS REGION APURIMAC</t>
  </si>
  <si>
    <t>166306</t>
  </si>
  <si>
    <t>MEJORAMIENTO DE LA CRIANZA DE GANADO VACUNO LECHERO EN EL ANEXO CCARATQUI DE LA COMUNIDAD CAMPESINA DE MITOBAMBA, DISTRITO DE OCOBAMBA, PROVINCIA DE CHINCHEROS, DEPARTAMENTO DE APURIMAC</t>
  </si>
  <si>
    <t>166881</t>
  </si>
  <si>
    <t>MEJORAMIENTO DE CAPACIDADES EN LA CRIANZA DE CERDOS CON LAS FAMILIAS DEL ANEXO MAUCALLACCTA, COMUNIDAD CAMPESINA DE PISCOBAMBA, DISTRITO OCOBAMBA, PROVINCIA CHINCHEROS, REGION APURIMAC</t>
  </si>
  <si>
    <t>166682</t>
  </si>
  <si>
    <t>MEJORAMIENTO DEL USO DEL AGUA A TRAVÉS DE MÓDULOS DE RIEGO TECNIFICADO EN EL ANEXO LA FLORIDA, COMUNIDAD CAMPESINA DE OCOBAMBA, DISTRITO OCOBAMBA, PROVINCIA CHINCHEROS, REGIÓN APURÍMAC</t>
  </si>
  <si>
    <t>194509</t>
  </si>
  <si>
    <t>MEJORAMIENTO EN LA CRIANZA DE GALLINAS CON 40 FAMILIAS DE LA COMUNIDAD CAMPESINA DE OCOBAMBA, DISTRITO OCOBAMBA, PROVINCIA CHINCHEROS, REGION APURIMAC</t>
  </si>
  <si>
    <t>194804</t>
  </si>
  <si>
    <t>MEJORAMIENTO DE LA CRIANZA DE OVINOS CON 40 FAMILIAS DEL ANEXO DE TRES CRUCES, COMUNIDAD CAMPESINA DE OCOBAMBA, DISTRITO OCOBAMBA, PROVINCIA CHINCHEROS, REGION APURIMAC</t>
  </si>
  <si>
    <t>194986</t>
  </si>
  <si>
    <t>INSTALACION DE MODULOS DE RECURSOS HIDRICO PARA 40 FAMILIAS DEL ANEXO SANTA ROSA ALTA DE LA COMUNIDAD CAMPESINA OCOBAMBA, DISTRITO OCOBAMBA, PROVINCIA CHINCHEROS, REGION APURIMAC</t>
  </si>
  <si>
    <t>111731</t>
  </si>
  <si>
    <t>INCREMENTO DE LA PRODUCCIÓN Y COMERCIALIZACIÓN DE CUYES DE LA ASOCIACION DE CRIADORES DE ANIMALES MENORES LA FORTALEZA DE OCOBAMBA</t>
  </si>
  <si>
    <t>128644</t>
  </si>
  <si>
    <t>MEJORAMIENTO DE LA COMERCIALIZACION DE MENESTRAS CON VALOR AGREGADO DE LA ASOCIACIÓN DE PRODUCTORES AGROPECUARIOS CARHUAYACU CENTRAL - APROACACE DEL DISTRITO DE OCOBAMBA, PROVINCIA DE CHINCHEROS, REGION APURIMAC.</t>
  </si>
  <si>
    <t>167184</t>
  </si>
  <si>
    <t>MEJORAMIENTO DE LA PRODUCCIÓN Y COMERCIALIZACIÓN DE YOGURT DE LA ASOCIACION DE PRODUCTORES DE GANADO LECHERO ASGAL, HUANCALLO ALTO - OCOBAMBA - CHINCHEROS - APURIMAC.</t>
  </si>
  <si>
    <t>167170</t>
  </si>
  <si>
    <t>MEJORAMIENTO DE LA PRODUCCIÓN, TRANSFORMACION Y COMERCIALIZACIÓN DE LACTEOS DE LA ASOCIACION VIRGEN DE CANDELARIA OCOBAMBA - CHINCHEROS - APURIMAC</t>
  </si>
  <si>
    <t>198802</t>
  </si>
  <si>
    <t>MEJORAMIENTO DEL PROCESO DE ENGORDE Y COMERCIALIZACIÓN DE CERDOS CRIOLLOS CON LA ASOCIACIÓN DE CRIADORES DE ANIMALES MENORES DE VIRGEN DEL CARMEN DE CARHUAYACO BAJO DISTRITO OCOBAMBA, PROVINCIA CHINCHEROS, REGIÓN APURÍMAC</t>
  </si>
  <si>
    <t>112372</t>
  </si>
  <si>
    <t>INSTALACIÓN DEL RIEGO TECNIFICADO POR ASPERSIÓN EN LA COMUNIDAD CAMPESINA SANTA ROSA - ONGOY - CHINCHEROS – APURÍMAC</t>
  </si>
  <si>
    <t>ONGOY</t>
  </si>
  <si>
    <t>112444</t>
  </si>
  <si>
    <t>FORTALECIMIENTO DE LA ACTIVIDAD FORESTAL CON  FAMILIAS DE LA COMUNIDAD CAMPESINA MOZOBAMBA - ONGOY - CHINCEROS – APURÍMAC</t>
  </si>
  <si>
    <t>112459</t>
  </si>
  <si>
    <t>FORTALECIMIENTO DE LA ACTIVIDAD PRODUCTIVA DEL MELOCOTONERO CON LA PARTICIPACIÓN DE FAMILIAS DE COMUNIDAD CAMPESINA MITOBAMBA -OCOBAMBA - CHINCHEROS - APURÍMAC</t>
  </si>
  <si>
    <t>166131</t>
  </si>
  <si>
    <t>MEJORAMIENTO DE LA CRIANZA DE CUYES CON FAMILIAS DEL ANEXO DE NUEVA ESPERANZA DE LA COMUNIDAD CAMPESINA DE ROCCCHACC, DISTRITO DE ONGOY, PROVINCIA CHINCHEROS, REGIÓN APURIMAC.</t>
  </si>
  <si>
    <t>166975</t>
  </si>
  <si>
    <t>MEJORAMIENTO DE LA CRIANZA DE CUYES CON LAS FAMILIAS DE LA COMUNIDAD CAMPESINA DE MIRAFLORES, DISTRITO ONGOY, PROVINCIA CHINCHEROS, REGIÓN APURÍMAC</t>
  </si>
  <si>
    <t>166137</t>
  </si>
  <si>
    <t>MEJORAMIENTO DEL GANADO VACUNO CON LAS FAMILIAS DEL ANEXO VISTA ALEGRE DE LA COMUNIDAD CAMPESINA DE ROCCHACC, DISTRITO DE ONGOY, PROVINCIA DE CHINCHEROS, REGIÓN APURIMAC</t>
  </si>
  <si>
    <t>194459</t>
  </si>
  <si>
    <t>MEJORAMIENTO DE LA CRIANZA DE CUYES CON 40 FAMILIAS DE LA COMUNIDAD CAMPESINA DE HUAMBURQUE, DISTRITO ONGOY, PROVINCIA CHINCHEROS, REGIÓN APURÍMAC</t>
  </si>
  <si>
    <t>194657</t>
  </si>
  <si>
    <t>MEJORAMIENTO DE LA CRIANZA DE OVINOS CON 40 FAMILIAS DE LA COMUNIDAD CAMPESINA DE CABAÑA EL PORVENIR, DISTRITO ONGOY, PROVINCIA CHINCHEROS, REGION APURIMAC</t>
  </si>
  <si>
    <t>194947</t>
  </si>
  <si>
    <t>INSTALACION DE MODULOS DE RECURSOS HIDRICO PARA 40 FAMILIAS DEL ANEXO DE MALLAUPAMPA DE LA COMUNIDAD CAMPESINA DE HUAMBURQUE, DISTRITO DE ONGOY, PROVINCIA CHINCHEROS, REGION APURIMAC</t>
  </si>
  <si>
    <t>194953</t>
  </si>
  <si>
    <t>INSTALACION DE MODULOS DE RECURSOS HIDRICO PARA 40 FAMILIAS DEL ANEXO DE CULLUBAMBA DE LA COMUNIDAD CAMPESINA DE ROCCHACC, DISTRITO ONGOY, PROVINCIA CHINCHEROS, REGION APURIMAC</t>
  </si>
  <si>
    <t>194968</t>
  </si>
  <si>
    <t>INSTALACION DE MODULOS DE RECURSOS HIDRICO PARA 40 FAMILIAS DEL ANEXO DE MIOPATA DE LA COMUNIDAD CAMPESINA DE ROCCHACC, DISTRITO ONGOY, PROVINCIA CHINCHERO, REGION APURIMAC</t>
  </si>
  <si>
    <t>198031</t>
  </si>
  <si>
    <t>MEJORAMIENTO DE LA CRIANZA DE PORCINOS CON 40 FAMILIAS DEL ANEXO PROGRESO, COMUNIDAD CAMPESINA DE ROCCHACC, DISTRITO ONGOY, PROVINCIA CHINCHEROS, REGIÓN APURÍMAC</t>
  </si>
  <si>
    <t>198087</t>
  </si>
  <si>
    <t>INSTALACION DE MÓDULOS DE RECURSOS HÍDRICO PARA 40 FAMILIAS DEL ANEXO DEL UNIÓN LOS PINOS, DE LA COMUNIDAD CAMPESINA DE MOZOBAMBA, DISTRITO ONGOY, PROVINCIA CHINCHEROS, REGIÓN APURÍMAC</t>
  </si>
  <si>
    <t>200056</t>
  </si>
  <si>
    <t>INSTALACION DE MÓDULOS DE RECURSOS HÍDRICOS PARA 40 FAMILIAS EN EL ANEXO DE JALATO HUAYCCO EN LA COMUNIDAD CAMPESINA DE HUAMBURQUE-DISTRITO DE ONGOY-PROVINCIA CHINCHEROS-REGIÓN APURÍMAC</t>
  </si>
  <si>
    <t>130950</t>
  </si>
  <si>
    <t>MEJORAMIENTO DE LA COMERCIALIZACIÓN DEL FRUTO DE TARA EN LA ASOCIACIÓN DE PRODUCTORES DE TARA CULTIVADA DISTRITO DE ONGOY, PROVINCIA DE CHINCHEROS, REGIÓN APURIMAC.</t>
  </si>
  <si>
    <t>199064</t>
  </si>
  <si>
    <t>AMPLIACION DE LA PLANTA AGROINDUSTRIAL DE SUSTITUTOS LÁCTEOS Y MEJORA DE LA COMERCIALIZACIÓN CON LA ASOCIACIÓN DE PRODUCTORES AGROINDUSTRIALES NUEVO AMANECER DE PORVENIR DISTRITO ONGOY, PROVINCIA CHINCHEROS, REGIÓN APURÍMAC.</t>
  </si>
  <si>
    <t>198867</t>
  </si>
  <si>
    <t>MEJORAMIENTO DE LA PRODUCCION Y COMERCIALIZACION DE PRODUCTOS DE PANIFICACION DE LA ASOCIACION DE PANIFICADORES VIRGEN DE LA ASUNCION DE ROCCHACC - ONGOY - CHINCHEROS - APURIMAC</t>
  </si>
  <si>
    <t>AYACUCHO</t>
  </si>
  <si>
    <t>LA MAR</t>
  </si>
  <si>
    <t>112027</t>
  </si>
  <si>
    <t>CRIANZA TECNIFICADA Y COMERCIALIZACION DE CUYES “BRIZAS DE PINCHIN” TAMBO LA MAR -AYACUCHO</t>
  </si>
  <si>
    <t>TAMBO</t>
  </si>
  <si>
    <t>113716</t>
  </si>
  <si>
    <t>FORTALECIMIENTO EN LA PRODUCCION, COMERCIALIZACION Y COMPETITIVIDAD DE GANADO VACUNO DE CARNE DE LA ASOCIACION DE PRODUCTORES AGROPECUARIOS AGROINDUSTRIALES ALTO ANDINA BELEN QARHUAPAMPA - ASPRAGAB DEL DISTRITO DE TAMBO PROVINCIA DE LA MAR - AYACUCHO</t>
  </si>
  <si>
    <t>128143</t>
  </si>
  <si>
    <t>MEJORAMIENTO EN LA COMERCIALIZACION DE GANADO VACUNO EN LA ASOCIACION DE PRODUCTORES AGROPECUARIOS Y AGROINDUSTRIALES DE TACMAPAMPA COMUNIDAD DE PAMPA HERMOSA-TAMBO-LA MAR</t>
  </si>
  <si>
    <t>128146</t>
  </si>
  <si>
    <t>MEJORAMIENTO DE LAS CAPACIDADES PRODUCTIVAS Y COMERCIALIZACION DE GANADO VACUNO DE LA ASOCIACION DE PRODUCTORES AGROPECUARIOS UNION TAMBO APAUT DEL DISTRITO DE TAMBO, PROVINCIA DE LA MAR-AYACUCHO</t>
  </si>
  <si>
    <t>135215</t>
  </si>
  <si>
    <t>FORTALECIMIENTO DE LA PRODUCCION, PROCESAMIENTO Y COMERCIALIZACION DE GRANOS Y CEREALES ANDINOS DE LA ASOCIACION DE PEQUEÑOS PRODUCTORES AGROPECUARIOS DE TANTACCOCHA-ITAPOYOCC DEL DISTRITO DE TAMBO PROVINCIA DE LA MAR - AYACUCHO</t>
  </si>
  <si>
    <t>CONCEPCION</t>
  </si>
  <si>
    <t>127932</t>
  </si>
  <si>
    <t>FORTALECIMIENTO DE CAPACIDADES EN EL MANEJO DE RIEGO POR ASPERSIÓN Y COMPOSTURA EN LA COMUNIDAD CAMPESINA PALTAMARCA - PACHAMARCA - CHURCAMPA - HVCA</t>
  </si>
  <si>
    <t>128237</t>
  </si>
  <si>
    <t>FORTALECIMIENTO DE CAPACIDADES EN EL MEJORAMIENTO Y MANEJO DE GANADO VACUNO EN EL ANEXO YANARUMI, COMUNIDAD CAMPESINA ILLPE JAMBATO PATIBAMBA - PACHAMARCA - CHURCAMPA - HVCA</t>
  </si>
  <si>
    <t>128497</t>
  </si>
  <si>
    <t>FORTALECIMIENTO DE CAPACIDADES EN EL MANEJO DE RIEGO POR ASPERSIÓN EN EL ANEXO PUMARANRA, COMUNIDAD CAMPESINA CCOYLLORPANCCA PACCHAPAMPA - PACHAMARCA - CHURCAMPA - HVCA</t>
  </si>
  <si>
    <t>128727</t>
  </si>
  <si>
    <t>FORTALECIMIENTO DE CAPACIDADES EN EL MANEJO DE RIEGO EN EL ANEXO PACCCHAPAMPA, COMUNIDAD CAMPESINA CCOYLLORPANCCA PACCCHAPAMPA - PACHAMARCA -CHURCAMPA-HVCA</t>
  </si>
  <si>
    <t>161463</t>
  </si>
  <si>
    <t>MEJORAMIENTO DE LA PRODUCCIÓN Y COMERCIALIZACIÓN DE YOGURT DE LA ASOCIACIÓN DE PRODUCTORES LÁCTEOS MANATIAL DE VIDA APROLAC, DISTRITO DE PAUCARBAMBA, PROVINCIA DE CHURCAMPA, DEPARTAMENTO DE HUANCAVELICA</t>
  </si>
  <si>
    <t>161586</t>
  </si>
  <si>
    <t>MEJORAMIENTO DE LA PRODUCCIÓN, TRANSFORMACIÓN Y COMERCIALIZACIÓN DE DERIVADOS LÁCTEOS (QUESO) DE LA ASOCIACIÓN DE PRODUCTORES DE VACUNOS DE LECHE - VALLE DE PAUCARBAMBA (PARACCAY, SALLCCABAMBA, SILLÓN), DIST.PAUCARBAMBA, PROV.CHURCAMPA-HUANCAVELICA</t>
  </si>
  <si>
    <t>167492</t>
  </si>
  <si>
    <t>MEJORAMIENTO DE LA PRODUCCIÓN Y COMERCIALIZACIÓN DE CUYES MEJORADOS DE LA ASOCIACION DE PRODUCTORES DE CUYES VILLA PAUCARBAMBA, DISTRITO DE PAUCARBAMBA - PROVINCIA DE CHURCAMPA - HUANCAVELICA</t>
  </si>
  <si>
    <t>167418</t>
  </si>
  <si>
    <t>MEJORAMIENTO DE LA PRODUCCIÓN Y COMERCIALIZACIÓN DE QUESO Y YOGURT EN LA ASOCIACIÓN DE PRODUCTORES AGROINDUSTRIA Y PECUARIA HUAMANCCASA, DISTRITO DE PAUCARBAMBA, PROVINCIA DE CHURCAMPA, REGION DE HUANCAVELICA</t>
  </si>
  <si>
    <t>167436</t>
  </si>
  <si>
    <t>MEJORAMIENTO DE LA PRODUCCIÓN Y COMERCIALIZACIÓN DE MAÍZ AMILÁCEO DE LA ASOCIACIÓN DE PRODUCTORES DE MAIZ NUEVO AMANECER DE HUAYLLAPAMPA, DISTRITO DE PAUCARBAMBA, PROVINCIA DE CHURCAMPA, DEPARTAMENTO DE HUANCAVELICA</t>
  </si>
  <si>
    <t>128168</t>
  </si>
  <si>
    <t>FORTALECIMIENTO DE CAPACIDADES EN CRIANZA DE CUYES DE LAS FAMILIAS DE LA COMUNIDAD CAMPESINA PUMAMARCA - SAN PEDRO DE CORIS - CHURCAMPA- HVCA</t>
  </si>
  <si>
    <t>128169</t>
  </si>
  <si>
    <t>FORTALECIMIENTO DE CAPACIDADES EN CRIANZA DE CUYES DE LAS FAMILIAS DE LA COMUNIDAD CAMPESINA UNIÓN PANTY - SAN PEDRO DE CORIS - CHURCAMPA- HVCA</t>
  </si>
  <si>
    <t>112498</t>
  </si>
  <si>
    <t>MEJORAMIENTO DE LA PRODUCCION DE TARA CON FAMILIA DE LA COMUNIDAD CAMPESINA QUISHUAR - QUISHUAR - TAYACAHA  -  HVCA</t>
  </si>
  <si>
    <t>QUISHUAR</t>
  </si>
  <si>
    <t>199503</t>
  </si>
  <si>
    <t>MEJORAMIENTO DE LA PRODUCCIÓN TRANSFORMACIÓN Y COMERCIALIZACIÓN DE CEREALES, DE LAS FAMILIAS DE LA ASOCIACIÓN DE PRODUCTORES AGROPECUARIOS, AGROINDUSTRIAL Y TURÍSTICO LA UNIÓN AGRARIA DE QUISHUAR - QUISHUAR - TAYACAJA HUANCAVELICA</t>
  </si>
  <si>
    <t>166959</t>
  </si>
  <si>
    <t>MEJORAMIENTO DE LA PRODUCCIÓN Y COMERCIALIZACIÓN DE PALTO DE LA ASOCIACIÓN DE PRODUCTORES AGROPECUARIOS AGROANDINO, DISTRITO DE ANDAMARCA, PROVINCIA DE CONCEPCIÓN Y REGIÓN JUNÍN</t>
  </si>
  <si>
    <t>ANDAMARCA</t>
  </si>
  <si>
    <t>167045</t>
  </si>
  <si>
    <t>MEJORAMIENTO DE LA PRODUCCIÓN Y COMERCIALIZACIÓN DE TEJIDOS EN TELAR DE LA ASOCIACIÓN DE MUJERES ARTESANAS AGROPECUARIAS KUSI WALMIS, DISTRITO DE ANDAMARCA, PROVINCIA DE CONCEPCIÓN, REGIÓN JUNÍN</t>
  </si>
  <si>
    <t>198375</t>
  </si>
  <si>
    <t>MEJORAMIENTO DE LA PRODUCCIÓN Y COMERCIALIZACION DE PALTA DE LA ASOCIACIÓN DE PRODUCTORES AGROPECUARIOS LOS ECOLOGISTAS DE LA COMUNIDAD DE MATAPA, DISTRITO ANDAMARCA PROVINCIA CONCEPCIÓN- JUNÍN</t>
  </si>
  <si>
    <t>Columna1</t>
  </si>
  <si>
    <t>Incentivo</t>
  </si>
  <si>
    <t>Organización</t>
  </si>
  <si>
    <t>Cadena</t>
  </si>
  <si>
    <t>Región</t>
  </si>
  <si>
    <t>TEC</t>
  </si>
  <si>
    <t>Asociación de Productores Agropecuarios y Agroindustriales Taipes de Apina, Paucarbamba – Churcampa – Huancavelica</t>
  </si>
  <si>
    <t>Papa</t>
  </si>
  <si>
    <t>Huancavelica</t>
  </si>
  <si>
    <t xml:space="preserve">PAUCARBAMBA </t>
  </si>
  <si>
    <t>Café</t>
  </si>
  <si>
    <t>Cusco</t>
  </si>
  <si>
    <t>LA CONVENCION</t>
  </si>
  <si>
    <t>Asociación de Productores Agropecuarios y Ganaderos del Valle de Qeqra - Tambo</t>
  </si>
  <si>
    <t>Ayacucho</t>
  </si>
  <si>
    <t xml:space="preserve">LA MAR </t>
  </si>
  <si>
    <t>Asociación Cruzpacc Zona Verde Cruzpampa</t>
  </si>
  <si>
    <t xml:space="preserve">Leche </t>
  </si>
  <si>
    <t>Apurímac</t>
  </si>
  <si>
    <t>ASOC</t>
  </si>
  <si>
    <t>Asociación de Mujeres Agropecuarias Virgen del Carmen del Palmareal</t>
  </si>
  <si>
    <t>Aves de corral</t>
  </si>
  <si>
    <t>ECHARATE</t>
  </si>
  <si>
    <t>Asociación de Productoras y Productores Agropecuarios Allin Llankacuna de Santa Rosa de Pinco</t>
  </si>
  <si>
    <t>Maíz</t>
  </si>
  <si>
    <t>Grupo Cacaotal Sociedad Comercial de Responsabilidad Limitada</t>
  </si>
  <si>
    <t>Cacao</t>
  </si>
  <si>
    <t>Asociación de Productores de Ganado Lechero de Ocobamba - ASGAL</t>
  </si>
  <si>
    <t>Asociación de Productoras y Productores Agropecuarios Sumac Tarpucuna de Huaribambilla -  Paucarbamba - Churcampa - Huancavelica</t>
  </si>
  <si>
    <t>Asociación de Productores Agropecuarios Orgánicos Valle Pampas – APAOVAP</t>
  </si>
  <si>
    <t>Palta</t>
  </si>
  <si>
    <t>Asociación Nueva Semilla de Andarapa</t>
  </si>
  <si>
    <t>Cuyes</t>
  </si>
  <si>
    <t>Asociación de Productoras y Productores Agropecuarios Tarpuy de Capuleccasa</t>
  </si>
  <si>
    <t>Asociación de Productoras y Productores Agropecuarios Las Villas de Robopata</t>
  </si>
  <si>
    <t>Asociación de Productoras y Productores Agropecuarios Ayllytarpuy de Pumaranra</t>
  </si>
  <si>
    <t>Asociación de Productoras y Productores Agropecuarios Valle Hermoso Chuñuna Pampa de Huamanccasa -  Paucarbamba - Churcampa - Huancavelica</t>
  </si>
  <si>
    <t>Asociación de Productores y Productoras Agropecuarios  Amancaypata de Rupac</t>
  </si>
  <si>
    <t>Asociación de Productores Agropecuarios Pacchapatinito Andino - Huánuco</t>
  </si>
  <si>
    <t>Junín</t>
  </si>
  <si>
    <t>Asociación de Productores Bananeros 03 de Mayo Ichiquiato Bajo – Alto Koribeni</t>
  </si>
  <si>
    <t>Asociación de Productoras y Productores Agropecuarios Triunfadores Y Triunfadoras de San Cristobal de Ccocha</t>
  </si>
  <si>
    <t>Asociación de Productoras y Productores Agropecuarios Kuskallawiñarisum</t>
  </si>
  <si>
    <t>Asociación de Productoras y Productores Agropecuarios Los Portales de Caja Orcco</t>
  </si>
  <si>
    <t>Asociación de Productores Agroecológicos UYSUS</t>
  </si>
  <si>
    <t>DANIEL HERNANDEZ</t>
  </si>
  <si>
    <t>Asociación de Productores y Productores Agropecuarios Señor de San Lucas de Huanchos, Chinchihuasi-Churcampahuancavelica</t>
  </si>
  <si>
    <t xml:space="preserve">Asociación de Productores Agropecuarios Quisagui - Río Blanco </t>
  </si>
  <si>
    <t>Asociación de Productores Agropecuarios de Pariac Pichus – Tayacaja</t>
  </si>
  <si>
    <t>Asociación de Productoras y Productores Agropecuarios Llankasun Pasarimpac de Comuhuillca – Paucarbamba – Churcampa – Huancavelica</t>
  </si>
  <si>
    <t>Asociación de Productoras y Productores Agropecuarios Molle Punco de Texas</t>
  </si>
  <si>
    <t>Asociación de Productoras y Productores Agropecuarios Yacu Tuccyac de Vista Alegre - Chinchihuasi - Churcampa - Huancavelica</t>
  </si>
  <si>
    <t xml:space="preserve">CHINCHIHUASI </t>
  </si>
  <si>
    <t>Asociación de Productores Agropecuarios y Frutícolas el Edén</t>
  </si>
  <si>
    <t>Asociación de Fruticultores de Mango, Palto y Chirimoya de Chuyama - Huaccana - Manpalch</t>
  </si>
  <si>
    <t>Asociación de Productores Agropecuarios Ganadera Agroindustrial Lácteos Acco Lorenzayocc - APAGAL</t>
  </si>
  <si>
    <t>Asociacion Juan Velasco Alvarado del Distrito de Andarapa - Ajvada</t>
  </si>
  <si>
    <t>Trigo y Frijol</t>
  </si>
  <si>
    <t>Asociación de Productores Agropecuarios Las Orquídeas del Centro Poblado de Carampa Pazos Tayacaja - Huancavelica</t>
  </si>
  <si>
    <t>Asociación de Productores Agropecuarios de Roccchacc</t>
  </si>
  <si>
    <t>Porcinos</t>
  </si>
  <si>
    <t>Asociación de Productores Agropecuarios San Cristóbal de Seccepiri</t>
  </si>
  <si>
    <t xml:space="preserve">Asociación Agrpecuaria Santa Rosa de Chuspirca </t>
  </si>
  <si>
    <t>Quinua y Papa</t>
  </si>
  <si>
    <t>ORGANIZACIÓN</t>
  </si>
  <si>
    <t>COMUNIDAD  CAMPESINA PUYHUALLA ALTA - ANDARAPA - ANDAHUAYLAS -  APURÍMAC</t>
  </si>
  <si>
    <t>COMUNIDAD CAMPESINA HUANCAS  -  ANDARAPA -  ANDAHUAYLAS -  APURÍMAC</t>
  </si>
  <si>
    <t>COMUNIDAD CAMPESINA DE CHANTA UMACA-ANDARAPA -ANDAHUAYLAS-APURIMAC</t>
  </si>
  <si>
    <t>COMUNIDAD DE HUALLHUAYOCC- ANDARAPA- ANDAHUAYLAS- APURIMAC.</t>
  </si>
  <si>
    <t>COMUNIDAD CAMPESINA DE PUYHUALLA CENTRO- ANDARAPA-ANDAHUAYLAS- APURIMAC.</t>
  </si>
  <si>
    <t>COMUNIDAD CAMPESINA DE ILLAHUASI - ANDARAPA - ANDAHUAYLAS - APURÍMAC</t>
  </si>
  <si>
    <t>COMUNIDAD CAMPESINA DE ANDARAPA, DISTRITO DE ANDARAPA, PROVINCIA DE ANDAHUAYLAS, REGION APURIMAC</t>
  </si>
  <si>
    <t>ANEXO PUEBLO LIBRE, COMUNIDAD CAMPESINA PUYHUALLA ALTA - ANDARAPA - ANDAHUAYLAS – APURÍMAC</t>
  </si>
  <si>
    <t>ANEXO 2 DE MAYO, COMUNIDAD CAMPESINA DE HUANCAS - ANDARAPA - ANDAHUAYLAS - APURIMAC.</t>
  </si>
  <si>
    <t xml:space="preserve"> ANEXO CENTRO UMACA DE LA COMUNIDAD CAMPESINA DE ANDARAPA- ANDAHUAYLAS- APURIMAC</t>
  </si>
  <si>
    <t>COMUNIDAD CAMPESINA DE HUAMPICA-ANDARAPA- ANDAHUAYLAS-APURIMAC.</t>
  </si>
  <si>
    <t>ANEXO VILLA REAL DE LA COMUNIDAD CAMPESINA DE CHANTA UMACA - ANDARAPA - ANDAHUAYLAS - ANDAHUAYLAS</t>
  </si>
  <si>
    <t>ANEXO DE SAN MARTIN DE TOXAMA COMUNIDAD CAMPESINA DE ANDARAPA - ANDARAPA - ANDAHUAYLAS - APURÍMAC</t>
  </si>
  <si>
    <t>ANEXO DE LA MERCED DEL COMUNIDAD CAMPESINA DE CHANTA UMACA - ANDARAPA - ANDAHUAYLAS - APURÍMAC</t>
  </si>
  <si>
    <t>ANEXO DE COTABAMBA DE LA COMUNIDAD CAMPESINA DE ANDARAPA - ANDARAPA ANDAHUAYLAS - APURÍMAC</t>
  </si>
  <si>
    <t>ANEXO DE PUEBLO LIBRE, COMUNIDAD CAMPESINA DE ILLAHUASI, DISTRITO DE ANDARAPA, PROVINCIA DE ANDAHUAYLAS, REGIÓN DE APURÍMAC</t>
  </si>
  <si>
    <t>ANEXO DE CHUSPÍ CHAMANA DE LA COMUNIDAD CAMPESINA DE ANDARAPA DEL DISTRITO DE ANDARAPA, PROVINCIA DE ANDAHUAYLAS, REGION APURIMAC</t>
  </si>
  <si>
    <t>ANEXO SAN JUAN DE MIRAFLORES, DE LA COMUNIDAD CAMPESINA TOXAMA, DISTRITO ANDARAPA, PROVINCIA ANDAHUAYLAS, REGION APURIMAC</t>
  </si>
  <si>
    <t>ANEXO SANTA ROSA, COMUNIDAD CAMPESINA ILLAHUASI, DISTRITO DE ANDARAPA, PROVINCIA DE ANDAHUAYLAS, REGION APURIMAC</t>
  </si>
  <si>
    <t>ANEXO CCOLLCCA DE LA COMUNIDAD CAMPESINA DE PUYHUALLA CENTRO, DISTRITO ANDARAPA, PROVINCIA ANDAHUAYLAS, REGIÓN APURÍMAC</t>
  </si>
  <si>
    <t>ANEXO TURPOSINA, COMUNIDAD CAMPESINA DE HUAYHUALLOCC, DISTRITO DE ANDARAPA, PROVINCIA ANDAHUAYLAS, REGION APURIMAC</t>
  </si>
  <si>
    <t>ANEXO OLORHUANCA DE LA COMUNIDAD CHANTA UMACA, DISTRITO DE ANDARAPA, PROVINCIA DE ANDAHUAYLAS, REGIÓN APURÍMAC</t>
  </si>
  <si>
    <t>ANEXO DE SAN JUAN DE TRÉBOL, COMUNIDAD CANPESINA DE HUANCAS, DISTRITO DE ANDARAPA, PROVINCIA DE ANDAHUAYLAS, REGION APURIMAC</t>
  </si>
  <si>
    <t>ANEXO HUAYAUPAMPA, COMUNIDAD CAMPESINA ANDARAPA, PROVINCIA ANDAHUAYLAS, REGION APURIMAC</t>
  </si>
  <si>
    <t>COMUNIDAD CAMPESINA DE TOXAMA, DISTRITO ANDARAPA, PROVINCIA ANDAHUAYLAS, REGION APURIMAC</t>
  </si>
  <si>
    <t>EN EL DISTRITO ANDARAPA, PROVINCIA ANDAHUAYLAS, REGIÓN APURIMAC</t>
  </si>
  <si>
    <t>ASOCIACIÓN DE PRODUCTORES AGROPECUARIOS DEL VALLE DE COCAS DE HUAMPICA DEL DISTRITO DE ANDARAPA, PROVINCIA DE ANDAHUAYLAS., REGION APURIMAC</t>
  </si>
  <si>
    <t>COMUNIDAD CAMPESINA DE UMACA DISTRITO DE OCOBAMBA, PROVINCIA ANDAHUAYLAS, REGIÓN APURÍMAC</t>
  </si>
  <si>
    <t>ASOCIACION DE AGRICULTORES CUENCA PAMPAS - ACUPAS DE LA COMUNIDAD DE RIO BLANCO DEL DISTRITO DE HUACCANA, PROVINCIA DE CHINCHEROS, REGION APURIMAC.</t>
  </si>
  <si>
    <t>ASOCIACIÓN DE PRODUCTORES DE CUY LOS AYLLUS DE HUACCANA, DE LA PROVINCIA DE CHINCHEROS, REGION APURIMAC.</t>
  </si>
  <si>
    <t>ASOCIACION DE PRODUCTORES DE CUY AGRO NEGOCIOS, DISTRITO DE HUACCANA, PROVINCIA DE CHINCHEROS, REGIÓN APURIMAC</t>
  </si>
  <si>
    <t>ASOCIACIÓN DE DE PRODUCTORES AGROPECUARIOS ESCALON - APROAES - COMUNIDAD DE RÍO BLANCO DISTRITO DE HUACCANA PROVINCIA DE CHINCHEROS REGIÓN APURÍMAC</t>
  </si>
  <si>
    <t>COMUNIDAD CAMPESINA DE SOCCHA-OCOBAMBA- CHINCHEROS-APURIMAC</t>
  </si>
  <si>
    <t>COMUNIDAD CAMPESINA DE CARHUAYACO ALTO -OCOBAMBA-CHINCHEROS- APURÍMAC</t>
  </si>
  <si>
    <t>COMUNIDAD CAMPESINA DE PISCOBAMBA BAJA -OCOBAMBA-CHINCHEROS- APURÍMAC</t>
  </si>
  <si>
    <t>COMUNIDAD CAMPESINA DE SOCCOS EDÉN DEL DISTRITO DE OCOBAMBA, PROVINCIA DE CHINCHEROS. REGIÓN APURÍMAC</t>
  </si>
  <si>
    <t>ANEXO DE MAYHUAPATA DE LA COMUNIDAD CAMPESINA DE PISCOBAMBA, DISTRITO DE OCOBAMBA, PROVINCIA CHINCHEROS, REGIÓN APURÍMAC</t>
  </si>
  <si>
    <t>ANEXO DE LOS ANGELES DE PISCOBAMBA, DISTRITO DE OCOBAMBA, PROVINCIA DE CHINCHEROS, REGIÓN APURÍMAC</t>
  </si>
  <si>
    <t>ANEXO ANANSAYOCC, COMUNIDAD CAMPESINA OCOBAMBA, DISTRITO OCOBAMBA, PROVINCIA CHINCHEROS, REGIÓN APURÍMAC</t>
  </si>
  <si>
    <t>ANEXO PRIMERO DE MAYO, COMUNIDAD CAMPESINA OCOBAMBA, DISTRITO DE OCOBAMBA, PROVINCIA DE CHINCHEROS, REGIÓN APURÍMAC</t>
  </si>
  <si>
    <t>COMUNIDAD CAMPESINA LA ESMERALDA, DISTRITO OCOBAMBA, PROVINCIA CHINCHEROS, REGIÓN APURÍMAC</t>
  </si>
  <si>
    <t>ANEXO TÚPAC AMARU, DE LA COMUNIDAD CAMPESINA DE OCOBAMBA, DISTRITO OCOBAMBA, PROVINCIA CHINCHEROS, REGIÓN APURÍMAC</t>
  </si>
  <si>
    <t>ANEXO ANANSAYOCC BAJO, COMUNIDAD CAMPESINA DE OCOBAMBA, DISTRITO OCOBAMBA, PROVINCIA CHINCHEROS, REGIÓN APURIMAC</t>
  </si>
  <si>
    <t>ANEXO CHALLHUANI DE LA COMUNIDAD CAMPESINA DE OCOBAMBA, DISTRITO DE OCOBAMBA, PROVINCIA DE CHINCHEROS, REGIÓN APURÍMAC.</t>
  </si>
  <si>
    <t>COMUNIDAD CAMPESINA DE PISCOBAMBA DEL DISTRITO OCOBAMBA, PROVINCIA DE CHINCHEROS, REGIÓN APURÍMAC</t>
  </si>
  <si>
    <t>COMUNIDAD DE PISCOBAMBA, DISTRITO OCOBAMBA PROVINCIA CHINCHEROS REGION APURIMAC</t>
  </si>
  <si>
    <t>ANEXO CCARATQUI DE LA COMUNIDAD CAMPESINA DE MITOBAMBA, DISTRITO DE OCOBAMBA, PROVINCIA DE CHINCHEROS, DEPARTAMENTO DE APURIMAC</t>
  </si>
  <si>
    <t>ANEXO MAUCALLACCTA, COMUNIDAD CAMPESINA DE PISCOBAMBA, DISTRITO OCOBAMBA, PROVINCIA CHINCHEROS, REGION APURIMAC</t>
  </si>
  <si>
    <t>ANEXO LA FLORIDA, COMUNIDAD CAMPESINA DE OCOBAMBA, DISTRITO OCOBAMBA, PROVINCIA CHINCHEROS, REGIÓN APURÍMAC</t>
  </si>
  <si>
    <t>COMUNIDAD CAMPESINA DE OCOBAMBA, DISTRITO OCOBAMBA, PROVINCIA CHINCHEROS, REGION APURIMAC</t>
  </si>
  <si>
    <t>ANEXO DE TRES CRUCES, COMUNIDAD CAMPESINA DE OCOBAMBA, DISTRITO OCOBAMBA, PROVINCIA CHINCHEROS, REGION APURIMAC</t>
  </si>
  <si>
    <t>ANEXO SANTA ROSA ALTA DE LA COMUNIDAD CAMPESINA OCOBAMBA, DISTRITO OCOBAMBA, PROVINCIA CHINCHEROS, REGION APURIMAC</t>
  </si>
  <si>
    <t>ASOCIACION DE CRIADORES DE ANIMALES MENORES LA FORTALEZA DE OCOBAMBA</t>
  </si>
  <si>
    <t>ASOCIACIÓN DE PRODUCTORES AGROPECUARIOS CARHUAYACU CENTRAL - APROACACE DEL DISTRITO DE OCOBAMBA, PROVINCIA DE CHINCHEROS, REGION APURIMAC.</t>
  </si>
  <si>
    <t>ASOCIACION DE PRODUCTORES DE GANADO LECHERO ASGAL, HUANCALLO ALTO - OCOBAMBA - CHINCHEROS - APURIMAC.</t>
  </si>
  <si>
    <t>ASOCIACION VIRGEN DE CANDELARIA OCOBAMBA - CHINCHEROS - APURIMAC</t>
  </si>
  <si>
    <t>ASOCIACIÓN DE CRIADORES DE ANIMALES MENORES DE VIRGEN DEL CARMEN DE CARHUAYACO BAJO DISTRITO OCOBAMBA, PROVINCIA CHINCHEROS, REGIÓN APURÍMAC</t>
  </si>
  <si>
    <t>COMUNIDAD CAMPESINA SANTA ROSA - ONGOY - CHINCHEROS – APURÍMAC</t>
  </si>
  <si>
    <t>COMUNIDAD CAMPESINA MOZOBAMBA - ONGOY - CHINCEROS – APURÍMAC</t>
  </si>
  <si>
    <t>COMUNIDAD CAMPESINA MITOBAMBA -OCOBAMBA - CHINCHEROS - APURÍMAC</t>
  </si>
  <si>
    <t>COMUNIDAD CAMPESINA DE ROCCCHACC, DISTRITO DE ONGOY, PROVINCIA CHINCHEROS, REGIÓN APURIMAC.</t>
  </si>
  <si>
    <t>COMUNIDAD CAMPESINA DE MIRAFLORES, DISTRITO ONGOY, PROVINCIA CHINCHEROS, REGIÓN APURÍMAC</t>
  </si>
  <si>
    <t>COMUNIDAD CAMPESINA DE ROCCHACC, DISTRITO DE ONGOY, PROVINCIA DE CHINCHEROS, REGIÓN APURIMAC</t>
  </si>
  <si>
    <t>COMUNIDAD CAMPESINA DE HUAMBURQUE, DISTRITO ONGOY, PROVINCIA CHINCHEROS, REGIÓN APURÍMAC</t>
  </si>
  <si>
    <t>COMUNIDAD CAMPESINA DE CABAÑA EL PORVENIR, DISTRITO ONGOY, PROVINCIA CHINCHEROS, REGION APURIMAC</t>
  </si>
  <si>
    <t xml:space="preserve">TOTAL </t>
  </si>
  <si>
    <t>C.POBLADO</t>
  </si>
  <si>
    <t>TOTAL</t>
  </si>
  <si>
    <t xml:space="preserve">Nº </t>
  </si>
  <si>
    <t>FAMILIAS</t>
  </si>
  <si>
    <t>CCPP</t>
  </si>
  <si>
    <t>GRUPOS ORGANIZADOS ATENDIDOS CON EL PROYECTO ALIADOS I EN EL AMBITO DEL PDTS - VRAEM</t>
  </si>
  <si>
    <t>ANEXO DE JALATO HUAYCCO EN LA COMUNIDAD CAMPESINA DE HUAMBURQUE-DISTRITO DE ONGOY-PROVINCIA CHINCHEROS-REGIÓN APURÍMAC</t>
  </si>
  <si>
    <t xml:space="preserve"> ANEXO DE CULLUBAMBA DE LACOMUNIDAD CAMPESINA DE ROCCHACC, DISTRITO ONGOY, PROVINCIA CHINCHEROS, REGION APURIMAC</t>
  </si>
  <si>
    <t>ANEXO DE MALLAUPAMPA DE LA COMUNIDAD CAMPESINA DE HUAMBURQUE, DISTRITO DE ONGOY, PROVINCIA CHINCHEROS, REGION APURIMAC</t>
  </si>
  <si>
    <t>ANEXO DE MIOPATA DE LA COMUNIDAD CAMPESINA DE ROCCHACC, DISTRITO ONGOY, PROVINCIA CHINCHERO, REGION APURIMAC</t>
  </si>
  <si>
    <t>ANEXO PROGRESO COMUNIDAD CAMPESINA DE ROCCHACC, DISTRITO ONGOY, PROVINCIA CHINCHEROS, REGIÓN APURÍMAC</t>
  </si>
  <si>
    <t>ANEXO DEL UNIÓN LOS PINOS, DE LA  COMUNIDAD CAMPESINA DE MOZOBAMBA, DISTRITO ONGOY, PROVINCIA CHINCHEROS, REGIÓN APURÍMAC</t>
  </si>
  <si>
    <t>ASOCIACIÓN DE PRODUCTORES DE TARA CULTIVADA DISTRITO DE ONGOY, PROVINCIA DE CHINCHEROS, REGIÓN APURIMAC.</t>
  </si>
  <si>
    <t>ASOCIACIÓN DE PRODUCTORES AGROINDUSTRIALES NUEVO AMANECER DE PORVENIR DISTRITO ONGOY, PROVINCIA CHINCHEROS, REGIÓN APURÍMAC.</t>
  </si>
  <si>
    <t>ASOCIACION DE PANIFICADORES VIRGEN DE LA ASUNCION DE ROCCHACC - ONGOY - CHINCHEROS - APURIMAC</t>
  </si>
  <si>
    <t>“BRIZAS DE PINCHIN” TAMBO LA MAR -AYACUCHO</t>
  </si>
  <si>
    <t>ASOCIACION DE PRODUCTORES AGROPECUARIOS AGROINDUSTRIALES ALTO ANDINA BELEN QARHUAPAMPA - ASPRAGAB DEL DISTRITO DE TAMBO PROVINCIA DE LA MAR - AYACUCHO</t>
  </si>
  <si>
    <t>ASOCIACION DE PRODUCTORES AGROPECUARIOS Y AGROINDUSTRIALES DE TACMAPAMPA COMUNIDAD DE PAMPA HERMOSA-TAMBO-LA MAR</t>
  </si>
  <si>
    <t>ASOCIACION DE PRODUCTORES AGROPECUARIOS UNION TAMBO APAUT DEL DISTRITO DE TAMBO, PROVINCIA DE LA MAR-AYACUCHO</t>
  </si>
  <si>
    <t>ASOCIACION DE PEQUEÑOS PRODUCTORES AGROPECUARIOS DE TANTACCOCHA-ITAPOYOCC DEL DISTRITO DE TAMBO PROVINCIA DE LA MAR - AYACUCHO</t>
  </si>
  <si>
    <t>COMUNIDAD CAMPESINA PALTAMARCA - PACHAMARCA - CHURCAMPA - HVCA</t>
  </si>
  <si>
    <t>ANEXO YANARUMI, COMUNIDAD CAMPESINA ILLPE JAMBATO PATIBAMBA - PACHAMARCA - CHURCAMPA - HVCA</t>
  </si>
  <si>
    <t>ANEXO PUMARANRA, COMUNIDAD CAMPESINA CCOYLLORPANCCA PACCHAPAMPA - PACHAMARCA - CHURCAMPA - HVCA</t>
  </si>
  <si>
    <t>ANEXO PACCCHAPAMPA, COMUNIDAD CAMPESINA CCOYLLORPANCCA PACCCHAPAMPA - PACHAMARCA -CHURCAMPA-HVCA</t>
  </si>
  <si>
    <t>ASOCIACIÓN DE PRODUCTORES LÁCTEOS MANATIAL DE VIDA APROLAC, DISTRITO DE PAUCARBAMBA, PROVINCIA DE CHURCAMPA, DEPARTAMENTO DE HUANCAVELICA</t>
  </si>
  <si>
    <t>ASOCIACIÓN DE PRODUCTORES DE VACUNOS DE LECHE - VALLE DE PAUCARBAMBA (PARACCAY, SALLCCABAMBA, SILLÓN), DIST.PAUCARBAMBA, PROV.CHURCAMPA-HUANCAVELICA</t>
  </si>
  <si>
    <t>ASOCIACION DE PRODUCTORES DE CUYES VILLA PAUCARBAMBA, DISTRITO DE PAUCARBAMBA - PROVINCIA DE CHURCAMPA - HUANCAVELICA</t>
  </si>
  <si>
    <t>ASOCIACIÓN DE PRODUCTORES AGROINDUSTRIA Y PECUARIA HUAMANCCASA, DISTRITO DE PAUCARBAMBA, PROVINCIA DE CHURCAMPA, REGION DE HUANCAVELICA</t>
  </si>
  <si>
    <t>ASOCIACIÓN DE PRODUCTORES DE MAIZ NUEVO AMANECER DE HUAYLLAPAMPA, DISTRITO DE PAUCARBAMBA, PROVINCIA DE CHURCAMPA, DEPARTAMENTO DE HUANCAVELICA</t>
  </si>
  <si>
    <t>COMUNIDAD CAMPESINA PUMAMARCA - SAN PEDRO DE CORIS - CHURCAMPA- HVCA</t>
  </si>
  <si>
    <t>COMUNIDAD CAMPESINA UNIÓN PANTY - SAN PEDRO DE CORIS - CHURCAMPA- HVCA</t>
  </si>
  <si>
    <t>COMUNIDAD CAMPESINA QUISHUAR - QUISHUAR - TAYACAHA  -  HVCA</t>
  </si>
  <si>
    <t>ASOCIACIÓN DE PRODUCTORES AGROPECUARIOS, AGROINDUSTRIAL Y TURÍSTICO LA UNIÓN AGRARIA DE QUISHUAR - QUISHUAR - TAYACAJA HUANCAVELICA</t>
  </si>
  <si>
    <t>ASOCIACIÓN DE PRODUCTORES AGROPECUARIOS AGROANDINO, DISTRITO DE ANDAMARCA, PROVINCIA DE CONCEPCIÓN Y REGIÓN JUNÍN</t>
  </si>
  <si>
    <t>ASOCIACIÓN DE MUJERES ARTESANAS AGROPECUARIAS KUSI WALMIS, DISTRITO DE ANDAMARCA, PROVINCIA DE CONCEPCIÓN, REGIÓN JUNÍN</t>
  </si>
  <si>
    <t>ASOCIACIÓN DE PRODUCTORES AGROPECUARIOS LOS ECOLOGISTAS DE LA COMUNIDAD DE MATAPA, DISTRITO ANDAMARCA PROVINCIA CONCEPCIÓN- JUNÍN</t>
  </si>
  <si>
    <t>GRUPOS ORGANIZADOS ATENDIDOS CON EL PROYECTO AGROIDEAS EN EL AMBITO DEL PDTS - VRAEM</t>
  </si>
  <si>
    <t>REGION</t>
  </si>
  <si>
    <t>ALIADOS II</t>
  </si>
  <si>
    <t>ALIADOS I</t>
  </si>
  <si>
    <t>AGROIDEAS</t>
  </si>
  <si>
    <t>APURÍMAC</t>
  </si>
  <si>
    <t>Andahuaylas</t>
  </si>
  <si>
    <t>Pacobamba</t>
  </si>
  <si>
    <t>Chincheros</t>
  </si>
  <si>
    <t xml:space="preserve">Ongoy, </t>
  </si>
  <si>
    <t>La Mar</t>
  </si>
  <si>
    <t xml:space="preserve">Luis Carranza, </t>
  </si>
  <si>
    <t>Tambo</t>
  </si>
  <si>
    <t>Chilcas</t>
  </si>
  <si>
    <t>Churcampa</t>
  </si>
  <si>
    <t>Pachamarca,</t>
  </si>
  <si>
    <t>Tayacaja</t>
  </si>
  <si>
    <t xml:space="preserve">Daniel Hernandez, </t>
  </si>
  <si>
    <t xml:space="preserve">Quishuar, </t>
  </si>
  <si>
    <t xml:space="preserve"> Salcabamba, </t>
  </si>
  <si>
    <t xml:space="preserve"> Salcahuasi, </t>
  </si>
  <si>
    <t xml:space="preserve"> Ñahuimpuquio</t>
  </si>
  <si>
    <t>JUNÍN</t>
  </si>
  <si>
    <t>Concepción</t>
  </si>
  <si>
    <t>Andamarca</t>
  </si>
  <si>
    <t>CUSCO</t>
  </si>
  <si>
    <t>La Convención</t>
  </si>
  <si>
    <t>Echarate</t>
  </si>
  <si>
    <t>S/.</t>
  </si>
  <si>
    <t xml:space="preserve">Sub Total </t>
  </si>
  <si>
    <t>S/</t>
  </si>
  <si>
    <t>Andarapa</t>
  </si>
  <si>
    <t>Kaquiabamba</t>
  </si>
  <si>
    <t>Huaccana</t>
  </si>
  <si>
    <t>Ocobamba</t>
  </si>
  <si>
    <t>San Pedro De Coris</t>
  </si>
  <si>
    <t>Chinchihuasi</t>
  </si>
  <si>
    <t>Paucarbamba</t>
  </si>
  <si>
    <t>Acostambo</t>
  </si>
  <si>
    <t>Pazos</t>
  </si>
  <si>
    <t xml:space="preserve">San Marcos De Rocchac, </t>
  </si>
  <si>
    <t>Acraquia</t>
  </si>
  <si>
    <t>Pampas</t>
  </si>
  <si>
    <t>Ahuaycha</t>
  </si>
  <si>
    <t>Huaribamba</t>
  </si>
  <si>
    <t xml:space="preserve">NÚMERO DE INICIATIVAS RURALES ATENDIDAS POR LOS PROGRAMAS Y PROYECTOS DEL MINAGRI EN EL AMBITO DE ACCION DEL                     </t>
  </si>
  <si>
    <t>TOTAL INICIATIVAS</t>
  </si>
  <si>
    <t>N° DE PLANES DE NEGOCIOS</t>
  </si>
  <si>
    <t>N° DE PLANES DE DESARROLLO TERRITORIAL</t>
  </si>
  <si>
    <t xml:space="preserve">N° DE PLANES NEGOCIOS RURALES </t>
  </si>
  <si>
    <t>N° DE PLANES DE DESARROLLO COMUNITARIO</t>
  </si>
  <si>
    <t xml:space="preserve"> PROYECTO DE DESARROLLO TERRITORIAL SOSTENIBLE -PDTS</t>
  </si>
  <si>
    <t>MEJORAMIENTO GENETICO - ANIMALES MENORES</t>
  </si>
  <si>
    <t>N°</t>
  </si>
  <si>
    <t>Nombre de la Organización</t>
  </si>
  <si>
    <t>Cadena Productiva</t>
  </si>
  <si>
    <t>Productores</t>
  </si>
  <si>
    <t xml:space="preserve">Ayacucho </t>
  </si>
  <si>
    <t xml:space="preserve">La Mar  </t>
  </si>
  <si>
    <t>Papa Nativa</t>
  </si>
  <si>
    <t>Maiz</t>
  </si>
  <si>
    <t>Artesania</t>
  </si>
  <si>
    <t>Lacteos</t>
  </si>
  <si>
    <t>Mantenimiento vial</t>
  </si>
  <si>
    <t>Hortalizas</t>
  </si>
  <si>
    <t>Vacunos</t>
  </si>
  <si>
    <t xml:space="preserve">Papa Comercial </t>
  </si>
  <si>
    <t xml:space="preserve">Crianza de Abejas </t>
  </si>
  <si>
    <t>Sauco</t>
  </si>
  <si>
    <t>Trucha</t>
  </si>
  <si>
    <t xml:space="preserve">Asociación de productores Agropecuarios, Agroindustrial los Andes </t>
  </si>
  <si>
    <t>Asociacion de Productores Agropecuarios, de desplazamiento forzado Martin Cullo</t>
  </si>
  <si>
    <t>Asociación de Productores Agropecuarios San Isidro del CP de ACCO</t>
  </si>
  <si>
    <t>Asociación de personas cn discpacidad ccatunta Wiñarisun (Adiscaw)</t>
  </si>
  <si>
    <t>Asociacion de productores agropecuarios ganadera agroindustrial Lacteos Acco</t>
  </si>
  <si>
    <t>Asociacion Civil de Mantenimiento Vial San Cristobal de Tambo</t>
  </si>
  <si>
    <t>Asociacion de productores agropeuarios Virgen de la Nieves</t>
  </si>
  <si>
    <t>Asociación Vial Framison La Mar</t>
  </si>
  <si>
    <t>Asociación Alto Andina de Qarihuapampa</t>
  </si>
  <si>
    <t>Asociación Brisas de Pinchin</t>
  </si>
  <si>
    <t>Asociación de productores Agropecuarios Señor de Huayra Huaya</t>
  </si>
  <si>
    <t>Asociación de Productores Agropecuarios y ganaderos del valle de Qeqra</t>
  </si>
  <si>
    <t>Asociación de Productores Agroganaderos caja es´piritu de Usmay</t>
  </si>
  <si>
    <t>Asociación de Productores agropecuarios ganaderos y agroindustriales alto andino Belen de Qarhuapampa</t>
  </si>
  <si>
    <t>Asociación de Agroproductores Hatun Minkay</t>
  </si>
  <si>
    <t>Asociacion de productores Agropecuarios Piscicultores de Pamparaccay</t>
  </si>
  <si>
    <t>Asociación de Agricultores Exportadores de Productos Agricolas y Agroindustrial Huihuinco</t>
  </si>
  <si>
    <t>Asociación de Productores Agropecuarios Señor de Huayra</t>
  </si>
  <si>
    <t>Asociación de productores Agropecuarios y Agroindustriales Santa Cruz de Tapuna Tambo La Mar ASPSCTA</t>
  </si>
  <si>
    <t xml:space="preserve">Asociación de Mujeres Emprendedoras de Tambo </t>
  </si>
  <si>
    <t>Asociación de Productores de Trucha en 11 Comunidades del distrito de Tambo</t>
  </si>
  <si>
    <t>Asociación de Productores Agropecuarios de Huisca Alta.</t>
  </si>
  <si>
    <t>Cuenta de TIPO</t>
  </si>
  <si>
    <t>GALLINAS</t>
  </si>
  <si>
    <t>TARA</t>
  </si>
  <si>
    <t>PALTA</t>
  </si>
  <si>
    <t>CUYES</t>
  </si>
  <si>
    <t xml:space="preserve">PALTA </t>
  </si>
  <si>
    <t>PAPA</t>
  </si>
  <si>
    <t>LECHE</t>
  </si>
  <si>
    <t>MANZANILLA</t>
  </si>
  <si>
    <t>GRANOS ANDINOS</t>
  </si>
  <si>
    <t>TRUCHAS</t>
  </si>
  <si>
    <t>GANADO LECHERO</t>
  </si>
  <si>
    <t>OVINOS</t>
  </si>
  <si>
    <t>MAIZ</t>
  </si>
  <si>
    <t>CAÑA DE AZUCAR</t>
  </si>
  <si>
    <t>MANZANA</t>
  </si>
  <si>
    <t>CIRUELO</t>
  </si>
  <si>
    <t>CERDOS</t>
  </si>
  <si>
    <t>MENESTRAS</t>
  </si>
  <si>
    <t>LACTEOS</t>
  </si>
  <si>
    <t>PANIFICACION</t>
  </si>
  <si>
    <t xml:space="preserve">MAIZ </t>
  </si>
  <si>
    <t>CEREALES</t>
  </si>
  <si>
    <t>ARTESANIA EN TELAR</t>
  </si>
  <si>
    <t>Cuenta de COMPONENTE</t>
  </si>
  <si>
    <t>Total DC</t>
  </si>
  <si>
    <t>Total NR</t>
  </si>
  <si>
    <t xml:space="preserve">Riego Tecnificado </t>
  </si>
  <si>
    <t xml:space="preserve">Riegp Tecnificado </t>
  </si>
  <si>
    <t>SUB TOTAL</t>
  </si>
  <si>
    <t xml:space="preserve">SUB TOTAL </t>
  </si>
  <si>
    <t>GRUPOS ORGANIZADOS ATENDIDOS CON OTROS PROYECTOS EN EL AMBITO DEL PDTS - VRAEM</t>
  </si>
  <si>
    <t>OTROS</t>
  </si>
  <si>
    <t>ORGAN.</t>
  </si>
  <si>
    <t xml:space="preserve">N° PLANES DE NEGOCIOS </t>
  </si>
  <si>
    <t>Total APURIMAC</t>
  </si>
  <si>
    <t>Total HUANCAVELICA</t>
  </si>
  <si>
    <t>PLAN DE NEGOCIO</t>
  </si>
  <si>
    <t>Total PLAN DE NEGOCIO</t>
  </si>
  <si>
    <t xml:space="preserve"> MAPEO DE INICIATIVAS DE NEGOCIOS RURALES ATENDIDAS POR LOS PROGRAMAS Y PROYECTOS DEL MINAGRI EN EL AMBITO DE INTERVENCIÓN DEL PROYECTO DE DESARROLLO TERRITORIAL SOSTENIBLE -2008-2016  (CONSOLIDADO)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</si>
</sst>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_-* #,##0_-;\-* #,##0_-;_-* &quot;-&quot;??_-;_-@_-"/>
  </numFmts>
  <fonts count="22" x14ac:knownFonts="1">
    <font>
      <sz val="11"/>
      <color theme="1"/>
      <name val="Calibri"/>
      <family val="2"/>
      <scheme val="minor"/>
    </font>
    <font>
      <sz val="11"/>
      <color theme="1"/>
      <name val="Calibri"/>
      <family val="2"/>
      <scheme val="minor"/>
    </font>
    <font>
      <sz val="11"/>
      <color rgb="FF0070C0"/>
      <name val="Arial Black"/>
      <family val="2"/>
    </font>
    <font>
      <sz val="10"/>
      <color theme="1"/>
      <name val="Calibri"/>
      <family val="2"/>
      <scheme val="minor"/>
    </font>
    <font>
      <b/>
      <sz val="10"/>
      <color theme="1"/>
      <name val="Calibri"/>
      <family val="2"/>
      <scheme val="minor"/>
    </font>
    <font>
      <b/>
      <sz val="10"/>
      <color theme="0"/>
      <name val="Calibri"/>
      <family val="2"/>
      <scheme val="minor"/>
    </font>
    <font>
      <b/>
      <sz val="10"/>
      <color rgb="FFC00000"/>
      <name val="Calibri"/>
      <family val="2"/>
      <scheme val="minor"/>
    </font>
    <font>
      <b/>
      <sz val="10"/>
      <color rgb="FFC00000"/>
      <name val="Arial Black"/>
      <family val="2"/>
    </font>
    <font>
      <b/>
      <sz val="10"/>
      <name val="Calibri"/>
      <family val="2"/>
      <scheme val="minor"/>
    </font>
    <font>
      <sz val="8"/>
      <name val="Calibri"/>
      <family val="2"/>
      <scheme val="minor"/>
    </font>
    <font>
      <b/>
      <sz val="8"/>
      <name val="Calibri"/>
      <family val="2"/>
      <scheme val="minor"/>
    </font>
    <font>
      <b/>
      <sz val="12"/>
      <color theme="1"/>
      <name val="Calibri"/>
      <family val="2"/>
      <scheme val="minor"/>
    </font>
    <font>
      <b/>
      <sz val="12"/>
      <name val="Calibri"/>
      <family val="2"/>
      <scheme val="minor"/>
    </font>
    <font>
      <b/>
      <sz val="11"/>
      <name val="Calibri"/>
      <family val="2"/>
      <scheme val="minor"/>
    </font>
    <font>
      <b/>
      <sz val="8"/>
      <color theme="1"/>
      <name val="Calibri"/>
      <family val="2"/>
      <scheme val="minor"/>
    </font>
    <font>
      <sz val="10"/>
      <color rgb="FF0070C0"/>
      <name val="Arial Black"/>
      <family val="2"/>
    </font>
    <font>
      <b/>
      <sz val="11"/>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7"/>
      <color rgb="FF000000"/>
      <name val="Arial"/>
      <family val="2"/>
    </font>
    <font>
      <sz val="7"/>
      <color rgb="FF000000"/>
      <name val="Arial"/>
      <family val="2"/>
    </font>
  </fonts>
  <fills count="2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68FC6F"/>
        <bgColor indexed="64"/>
      </patternFill>
    </fill>
    <fill>
      <patternFill patternType="solid">
        <fgColor rgb="FF64E699"/>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bgColor theme="4"/>
      </patternFill>
    </fill>
    <fill>
      <patternFill patternType="solid">
        <fgColor rgb="FFFFFF00"/>
        <bgColor theme="4"/>
      </patternFill>
    </fill>
    <fill>
      <patternFill patternType="solid">
        <fgColor rgb="FFFFFF00"/>
        <bgColor theme="4" tint="0.79998168889431442"/>
      </patternFill>
    </fill>
    <fill>
      <patternFill patternType="solid">
        <fgColor rgb="FF66FF99"/>
        <bgColor indexed="64"/>
      </patternFill>
    </fill>
    <fill>
      <patternFill patternType="solid">
        <fgColor rgb="FF66FF99"/>
        <bgColor theme="4" tint="0.79998168889431442"/>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theme="0" tint="-0.14999847407452621"/>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thin">
        <color theme="4" tint="0.39997558519241921"/>
      </bottom>
      <diagonal/>
    </border>
    <border>
      <left/>
      <right/>
      <top style="thin">
        <color theme="4" tint="0.39997558519241921"/>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48">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Fill="1" applyAlignment="1">
      <alignment horizontal="center" vertical="center"/>
    </xf>
    <xf numFmtId="0" fontId="3" fillId="0" borderId="0" xfId="0" applyFont="1" applyAlignment="1">
      <alignment vertical="center"/>
    </xf>
    <xf numFmtId="0" fontId="4" fillId="0" borderId="0"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vertical="center"/>
    </xf>
    <xf numFmtId="9" fontId="3" fillId="0" borderId="0"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0" fontId="0" fillId="0" borderId="0" xfId="0" applyFill="1" applyAlignment="1">
      <alignment vertical="center"/>
    </xf>
    <xf numFmtId="0" fontId="3" fillId="0" borderId="6" xfId="0" applyNumberFormat="1" applyFont="1" applyFill="1" applyBorder="1" applyAlignment="1">
      <alignment horizontal="center" vertical="center" wrapText="1"/>
    </xf>
    <xf numFmtId="0" fontId="7" fillId="16" borderId="0" xfId="0" applyFont="1" applyFill="1" applyAlignment="1">
      <alignment vertical="center"/>
    </xf>
    <xf numFmtId="0" fontId="7" fillId="16" borderId="0" xfId="0" applyFont="1" applyFill="1" applyAlignment="1">
      <alignment horizontal="center" vertical="center"/>
    </xf>
    <xf numFmtId="165" fontId="7" fillId="16" borderId="0" xfId="1" applyNumberFormat="1" applyFont="1" applyFill="1" applyAlignment="1">
      <alignment horizontal="center" vertical="center"/>
    </xf>
    <xf numFmtId="9" fontId="7" fillId="17" borderId="6" xfId="0" applyNumberFormat="1" applyFont="1" applyFill="1" applyBorder="1" applyAlignment="1">
      <alignment horizontal="center" vertical="center" wrapText="1"/>
    </xf>
    <xf numFmtId="9" fontId="7" fillId="16" borderId="0" xfId="2" applyFont="1" applyFill="1" applyAlignment="1">
      <alignment horizontal="center" vertical="center"/>
    </xf>
    <xf numFmtId="165" fontId="7" fillId="2" borderId="0" xfId="1" applyNumberFormat="1" applyFont="1" applyFill="1" applyAlignment="1">
      <alignment horizontal="center" vertical="center"/>
    </xf>
    <xf numFmtId="9" fontId="7" fillId="15" borderId="6" xfId="0" applyNumberFormat="1" applyFont="1" applyFill="1" applyBorder="1" applyAlignment="1">
      <alignment horizontal="center" vertical="center" wrapText="1"/>
    </xf>
    <xf numFmtId="3" fontId="7" fillId="16" borderId="0" xfId="0" applyNumberFormat="1" applyFont="1" applyFill="1" applyAlignment="1">
      <alignment horizontal="center" vertical="center"/>
    </xf>
    <xf numFmtId="10" fontId="7" fillId="16" borderId="0" xfId="2" applyNumberFormat="1" applyFont="1" applyFill="1" applyAlignment="1">
      <alignment horizontal="center" vertical="center"/>
    </xf>
    <xf numFmtId="10" fontId="7" fillId="0" borderId="0" xfId="2" applyNumberFormat="1" applyFont="1" applyFill="1" applyAlignment="1">
      <alignment horizontal="center" vertical="center"/>
    </xf>
    <xf numFmtId="4" fontId="7" fillId="0" borderId="0" xfId="0" applyNumberFormat="1" applyFont="1" applyFill="1" applyAlignment="1">
      <alignment horizontal="center" vertical="center"/>
    </xf>
    <xf numFmtId="0" fontId="0" fillId="0" borderId="4" xfId="0" applyBorder="1" applyAlignment="1">
      <alignment horizontal="center" vertical="center"/>
    </xf>
    <xf numFmtId="164" fontId="0" fillId="0" borderId="0" xfId="1" applyFont="1" applyAlignment="1">
      <alignment horizontal="center" vertical="center"/>
    </xf>
    <xf numFmtId="164" fontId="0" fillId="0" borderId="0" xfId="0" applyNumberFormat="1" applyAlignment="1">
      <alignment horizontal="center" vertical="center"/>
    </xf>
    <xf numFmtId="3" fontId="0" fillId="0" borderId="0" xfId="0" applyNumberFormat="1" applyAlignment="1">
      <alignment horizontal="center" vertical="center"/>
    </xf>
    <xf numFmtId="164" fontId="0" fillId="2" borderId="4" xfId="1" applyFont="1" applyFill="1" applyBorder="1" applyAlignment="1">
      <alignment horizontal="center" vertical="center"/>
    </xf>
    <xf numFmtId="9" fontId="0" fillId="2" borderId="4" xfId="2" applyFont="1" applyFill="1" applyBorder="1" applyAlignment="1">
      <alignment horizontal="center" vertical="center"/>
    </xf>
    <xf numFmtId="0" fontId="0" fillId="2" borderId="4" xfId="0" applyFill="1" applyBorder="1" applyAlignment="1">
      <alignment horizontal="center" vertical="center"/>
    </xf>
    <xf numFmtId="164" fontId="0" fillId="2" borderId="4" xfId="1" applyNumberFormat="1" applyFont="1" applyFill="1" applyBorder="1" applyAlignment="1">
      <alignment horizontal="center" vertical="center"/>
    </xf>
    <xf numFmtId="3" fontId="0" fillId="0" borderId="4" xfId="0" applyNumberFormat="1" applyBorder="1" applyAlignment="1">
      <alignment horizontal="center" vertical="center"/>
    </xf>
    <xf numFmtId="3" fontId="3" fillId="0" borderId="6" xfId="0" applyNumberFormat="1" applyFont="1" applyFill="1" applyBorder="1" applyAlignment="1">
      <alignment vertical="center" wrapText="1"/>
    </xf>
    <xf numFmtId="0" fontId="0" fillId="0" borderId="4" xfId="0" applyBorder="1"/>
    <xf numFmtId="0" fontId="0" fillId="0" borderId="4" xfId="0" pivotButton="1" applyBorder="1"/>
    <xf numFmtId="0" fontId="0" fillId="0" borderId="4" xfId="0" applyBorder="1" applyAlignment="1">
      <alignment horizontal="left"/>
    </xf>
    <xf numFmtId="0" fontId="0" fillId="0" borderId="4" xfId="0" applyNumberFormat="1" applyBorder="1"/>
    <xf numFmtId="0" fontId="0" fillId="0" borderId="4" xfId="0" applyBorder="1" applyAlignment="1">
      <alignment horizontal="left" indent="1"/>
    </xf>
    <xf numFmtId="0" fontId="3" fillId="0" borderId="4" xfId="0" applyFont="1" applyFill="1" applyBorder="1" applyAlignment="1">
      <alignment vertical="center" wrapText="1"/>
    </xf>
    <xf numFmtId="0" fontId="4" fillId="6"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5" xfId="0" applyFont="1" applyFill="1" applyBorder="1" applyAlignment="1">
      <alignment vertical="center" wrapText="1"/>
    </xf>
    <xf numFmtId="4" fontId="3" fillId="0" borderId="5" xfId="0" applyNumberFormat="1" applyFont="1" applyFill="1" applyBorder="1" applyAlignment="1">
      <alignment vertical="center" wrapText="1"/>
    </xf>
    <xf numFmtId="4" fontId="3" fillId="0" borderId="4" xfId="0" applyNumberFormat="1" applyFont="1" applyFill="1" applyBorder="1" applyAlignment="1">
      <alignment vertical="center" wrapText="1"/>
    </xf>
    <xf numFmtId="165" fontId="3" fillId="0" borderId="6" xfId="0" applyNumberFormat="1" applyFont="1" applyFill="1" applyBorder="1" applyAlignment="1">
      <alignment horizontal="center" vertical="center" wrapText="1"/>
    </xf>
    <xf numFmtId="10" fontId="3" fillId="0" borderId="6" xfId="0" applyNumberFormat="1" applyFont="1" applyFill="1" applyBorder="1" applyAlignment="1">
      <alignment horizontal="center" vertical="center" wrapText="1"/>
    </xf>
    <xf numFmtId="0" fontId="5" fillId="13" borderId="0" xfId="0" applyFont="1" applyFill="1" applyBorder="1" applyAlignment="1">
      <alignment horizontal="center" vertical="center" wrapText="1"/>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4" fontId="3" fillId="0" borderId="14" xfId="0" applyNumberFormat="1" applyFont="1" applyFill="1" applyBorder="1" applyAlignment="1">
      <alignment vertical="center" wrapText="1"/>
    </xf>
    <xf numFmtId="0" fontId="3" fillId="0" borderId="14" xfId="0" applyFont="1" applyFill="1" applyBorder="1" applyAlignment="1">
      <alignment vertical="center" wrapText="1"/>
    </xf>
    <xf numFmtId="0" fontId="5" fillId="13" borderId="21"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10" fillId="13" borderId="30" xfId="0" applyFont="1" applyFill="1" applyBorder="1" applyAlignment="1">
      <alignment horizontal="center" vertical="center" wrapText="1"/>
    </xf>
    <xf numFmtId="0" fontId="10" fillId="13" borderId="31" xfId="0" applyFont="1" applyFill="1" applyBorder="1" applyAlignment="1">
      <alignment horizontal="center" vertical="center"/>
    </xf>
    <xf numFmtId="0" fontId="10" fillId="13" borderId="31" xfId="0" applyFont="1" applyFill="1" applyBorder="1" applyAlignment="1">
      <alignment horizontal="center" vertical="center" wrapText="1"/>
    </xf>
    <xf numFmtId="0" fontId="10" fillId="13" borderId="32" xfId="0" applyFont="1" applyFill="1" applyBorder="1" applyAlignment="1">
      <alignment horizontal="center" vertical="center" wrapText="1"/>
    </xf>
    <xf numFmtId="0" fontId="9" fillId="20" borderId="33" xfId="0" applyFont="1" applyFill="1" applyBorder="1" applyAlignment="1">
      <alignment vertical="center"/>
    </xf>
    <xf numFmtId="0" fontId="9" fillId="20" borderId="34" xfId="0" applyFont="1" applyFill="1" applyBorder="1" applyAlignment="1">
      <alignment vertical="center"/>
    </xf>
    <xf numFmtId="0" fontId="9" fillId="20" borderId="34" xfId="0" applyFont="1" applyFill="1" applyBorder="1" applyAlignment="1">
      <alignment vertical="center" wrapText="1"/>
    </xf>
    <xf numFmtId="0" fontId="9" fillId="20" borderId="34" xfId="0" applyFont="1" applyFill="1" applyBorder="1" applyAlignment="1">
      <alignment horizontal="center" vertical="center"/>
    </xf>
    <xf numFmtId="0" fontId="9" fillId="20" borderId="35" xfId="0" applyFont="1" applyFill="1" applyBorder="1" applyAlignment="1">
      <alignment vertical="center"/>
    </xf>
    <xf numFmtId="0" fontId="9" fillId="19" borderId="33" xfId="0" applyFont="1" applyFill="1" applyBorder="1" applyAlignment="1">
      <alignment vertical="center"/>
    </xf>
    <xf numFmtId="0" fontId="9" fillId="19" borderId="34" xfId="0" applyFont="1" applyFill="1" applyBorder="1" applyAlignment="1">
      <alignment vertical="center"/>
    </xf>
    <xf numFmtId="0" fontId="9" fillId="19" borderId="34" xfId="0" applyFont="1" applyFill="1" applyBorder="1" applyAlignment="1">
      <alignment vertical="center" wrapText="1"/>
    </xf>
    <xf numFmtId="0" fontId="9" fillId="19" borderId="34" xfId="0" applyFont="1" applyFill="1" applyBorder="1" applyAlignment="1">
      <alignment horizontal="center" vertical="center"/>
    </xf>
    <xf numFmtId="0" fontId="9" fillId="19" borderId="35" xfId="0" applyFont="1" applyFill="1" applyBorder="1" applyAlignment="1">
      <alignment vertical="center"/>
    </xf>
    <xf numFmtId="0" fontId="9" fillId="19" borderId="36" xfId="0" applyFont="1" applyFill="1" applyBorder="1" applyAlignment="1">
      <alignment vertical="center"/>
    </xf>
    <xf numFmtId="0" fontId="9" fillId="19" borderId="37" xfId="0" applyFont="1" applyFill="1" applyBorder="1" applyAlignment="1">
      <alignment vertical="center"/>
    </xf>
    <xf numFmtId="0" fontId="9" fillId="19" borderId="37" xfId="0" applyFont="1" applyFill="1" applyBorder="1" applyAlignment="1">
      <alignment vertical="center" wrapText="1"/>
    </xf>
    <xf numFmtId="0" fontId="9" fillId="19" borderId="37" xfId="0" applyFont="1" applyFill="1" applyBorder="1" applyAlignment="1">
      <alignment horizontal="center" vertical="center"/>
    </xf>
    <xf numFmtId="0" fontId="9" fillId="19" borderId="38"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wrapText="1"/>
    </xf>
    <xf numFmtId="0" fontId="11" fillId="0" borderId="0" xfId="0" applyFont="1" applyFill="1" applyAlignment="1">
      <alignment horizontal="left" vertical="center" wrapText="1"/>
    </xf>
    <xf numFmtId="0" fontId="3" fillId="0" borderId="0" xfId="0" applyFont="1" applyAlignment="1">
      <alignment vertical="center" wrapText="1"/>
    </xf>
    <xf numFmtId="0" fontId="11" fillId="0" borderId="0" xfId="0" applyFont="1" applyAlignment="1">
      <alignment horizontal="left" vertical="center" wrapText="1"/>
    </xf>
    <xf numFmtId="0" fontId="8" fillId="21" borderId="0" xfId="0" applyFont="1" applyFill="1" applyBorder="1" applyAlignment="1">
      <alignment horizontal="center" vertical="center"/>
    </xf>
    <xf numFmtId="0" fontId="8" fillId="21" borderId="0" xfId="0" applyFont="1" applyFill="1" applyBorder="1" applyAlignment="1">
      <alignment horizontal="center" vertical="center" wrapText="1"/>
    </xf>
    <xf numFmtId="0" fontId="12" fillId="21" borderId="0" xfId="0" applyFont="1" applyFill="1" applyBorder="1" applyAlignment="1">
      <alignment horizontal="left" vertical="center" wrapText="1"/>
    </xf>
    <xf numFmtId="0" fontId="13" fillId="21" borderId="0" xfId="0" applyFont="1" applyFill="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7" fillId="22" borderId="0" xfId="0" applyFont="1" applyFill="1" applyAlignment="1">
      <alignment vertical="center"/>
    </xf>
    <xf numFmtId="0" fontId="2" fillId="0" borderId="0" xfId="0" applyFont="1" applyFill="1" applyBorder="1" applyAlignment="1">
      <alignment vertical="center"/>
    </xf>
    <xf numFmtId="0" fontId="0" fillId="0" borderId="0" xfId="0" applyBorder="1"/>
    <xf numFmtId="0" fontId="15" fillId="0" borderId="29" xfId="0" applyFont="1" applyFill="1" applyBorder="1" applyAlignment="1">
      <alignment vertical="center"/>
    </xf>
    <xf numFmtId="166" fontId="0" fillId="0" borderId="0" xfId="0" applyNumberFormat="1"/>
    <xf numFmtId="0" fontId="17" fillId="23" borderId="4" xfId="0" applyFont="1" applyFill="1" applyBorder="1" applyAlignment="1">
      <alignment vertical="center"/>
    </xf>
    <xf numFmtId="0" fontId="17" fillId="23" borderId="4" xfId="0" applyFont="1" applyFill="1" applyBorder="1" applyAlignment="1">
      <alignment vertical="center" wrapText="1"/>
    </xf>
    <xf numFmtId="165" fontId="1" fillId="22" borderId="3" xfId="1" applyNumberFormat="1" applyFont="1" applyFill="1" applyBorder="1"/>
    <xf numFmtId="165" fontId="1" fillId="22" borderId="4" xfId="1" applyNumberFormat="1" applyFont="1" applyFill="1" applyBorder="1" applyAlignment="1">
      <alignment horizontal="center" wrapText="1"/>
    </xf>
    <xf numFmtId="165" fontId="1" fillId="22" borderId="4" xfId="1" applyNumberFormat="1" applyFont="1" applyFill="1" applyBorder="1"/>
    <xf numFmtId="165" fontId="0" fillId="0" borderId="4" xfId="1" applyNumberFormat="1" applyFont="1" applyBorder="1"/>
    <xf numFmtId="165" fontId="1" fillId="22" borderId="3" xfId="1" applyNumberFormat="1" applyFont="1" applyFill="1" applyBorder="1" applyAlignment="1">
      <alignment horizontal="center" wrapText="1"/>
    </xf>
    <xf numFmtId="0" fontId="17" fillId="23" borderId="14" xfId="0" applyFont="1" applyFill="1" applyBorder="1" applyAlignment="1">
      <alignment vertical="center" wrapText="1"/>
    </xf>
    <xf numFmtId="165" fontId="1" fillId="22" borderId="13" xfId="1" applyNumberFormat="1" applyFont="1" applyFill="1" applyBorder="1" applyAlignment="1">
      <alignment horizontal="center" wrapText="1"/>
    </xf>
    <xf numFmtId="165" fontId="1" fillId="22" borderId="14" xfId="1" applyNumberFormat="1" applyFont="1" applyFill="1" applyBorder="1"/>
    <xf numFmtId="165" fontId="0" fillId="0" borderId="14" xfId="1" applyNumberFormat="1" applyFont="1" applyBorder="1"/>
    <xf numFmtId="165" fontId="1" fillId="22" borderId="14" xfId="1" applyNumberFormat="1" applyFont="1" applyFill="1" applyBorder="1" applyAlignment="1">
      <alignment horizontal="right"/>
    </xf>
    <xf numFmtId="0" fontId="17" fillId="23" borderId="17" xfId="0" applyFont="1" applyFill="1" applyBorder="1" applyAlignment="1">
      <alignment vertical="center" wrapText="1"/>
    </xf>
    <xf numFmtId="165" fontId="1" fillId="22" borderId="28" xfId="1" applyNumberFormat="1" applyFont="1" applyFill="1" applyBorder="1" applyAlignment="1">
      <alignment horizontal="center" wrapText="1"/>
    </xf>
    <xf numFmtId="165" fontId="1" fillId="22" borderId="17" xfId="1" applyNumberFormat="1" applyFont="1" applyFill="1" applyBorder="1" applyAlignment="1">
      <alignment horizontal="center" wrapText="1"/>
    </xf>
    <xf numFmtId="165" fontId="1" fillId="22" borderId="17" xfId="1" applyNumberFormat="1" applyFont="1" applyFill="1" applyBorder="1"/>
    <xf numFmtId="165" fontId="0" fillId="0" borderId="17" xfId="1" applyNumberFormat="1" applyFont="1" applyBorder="1"/>
    <xf numFmtId="165" fontId="0" fillId="0" borderId="20" xfId="1" applyNumberFormat="1" applyFont="1" applyBorder="1"/>
    <xf numFmtId="165" fontId="0" fillId="22" borderId="17" xfId="1" applyNumberFormat="1" applyFont="1" applyFill="1" applyBorder="1"/>
    <xf numFmtId="166" fontId="0" fillId="0" borderId="48" xfId="0" applyNumberFormat="1" applyBorder="1"/>
    <xf numFmtId="166" fontId="0" fillId="0" borderId="49" xfId="0" applyNumberFormat="1" applyBorder="1"/>
    <xf numFmtId="0" fontId="17" fillId="22" borderId="4" xfId="0" applyFont="1" applyFill="1" applyBorder="1" applyAlignment="1">
      <alignment vertical="center"/>
    </xf>
    <xf numFmtId="166" fontId="0" fillId="0" borderId="55" xfId="0" applyNumberFormat="1" applyBorder="1"/>
    <xf numFmtId="0" fontId="16" fillId="11" borderId="55" xfId="0" applyFont="1" applyFill="1" applyBorder="1" applyAlignment="1">
      <alignment vertical="center"/>
    </xf>
    <xf numFmtId="0" fontId="16" fillId="11" borderId="49" xfId="0" applyFont="1" applyFill="1" applyBorder="1" applyAlignment="1">
      <alignment horizontal="center"/>
    </xf>
    <xf numFmtId="0" fontId="0" fillId="24" borderId="39" xfId="0" applyFill="1" applyBorder="1" applyAlignment="1">
      <alignment horizontal="right" vertical="center" wrapText="1"/>
    </xf>
    <xf numFmtId="0" fontId="17" fillId="24" borderId="40" xfId="0" applyFont="1" applyFill="1" applyBorder="1" applyAlignment="1">
      <alignment vertical="center"/>
    </xf>
    <xf numFmtId="165" fontId="16" fillId="24" borderId="46" xfId="1" applyNumberFormat="1" applyFont="1" applyFill="1" applyBorder="1"/>
    <xf numFmtId="165" fontId="16" fillId="24" borderId="40" xfId="1" applyNumberFormat="1" applyFont="1" applyFill="1" applyBorder="1"/>
    <xf numFmtId="165" fontId="16" fillId="24" borderId="47" xfId="1" applyNumberFormat="1" applyFont="1" applyFill="1" applyBorder="1"/>
    <xf numFmtId="166" fontId="16" fillId="24" borderId="56" xfId="1" applyNumberFormat="1" applyFont="1" applyFill="1" applyBorder="1"/>
    <xf numFmtId="165" fontId="16" fillId="24" borderId="49" xfId="1" applyNumberFormat="1" applyFont="1" applyFill="1" applyBorder="1"/>
    <xf numFmtId="0" fontId="18" fillId="24" borderId="40" xfId="0" applyFont="1" applyFill="1" applyBorder="1" applyAlignment="1">
      <alignment vertical="center" wrapText="1"/>
    </xf>
    <xf numFmtId="0" fontId="16" fillId="24" borderId="49" xfId="0" applyFont="1" applyFill="1" applyBorder="1"/>
    <xf numFmtId="0" fontId="0" fillId="24" borderId="6" xfId="0" applyFill="1" applyBorder="1" applyAlignment="1">
      <alignment horizontal="right" vertical="center" wrapText="1"/>
    </xf>
    <xf numFmtId="0" fontId="17" fillId="24" borderId="5" xfId="0" applyFont="1" applyFill="1" applyBorder="1" applyAlignment="1">
      <alignment vertical="center" wrapText="1"/>
    </xf>
    <xf numFmtId="165" fontId="1" fillId="24" borderId="8" xfId="1" applyNumberFormat="1" applyFont="1" applyFill="1" applyBorder="1" applyAlignment="1">
      <alignment horizontal="center" wrapText="1"/>
    </xf>
    <xf numFmtId="165" fontId="1" fillId="24" borderId="5" xfId="1" applyNumberFormat="1" applyFont="1" applyFill="1" applyBorder="1" applyAlignment="1">
      <alignment horizontal="center" wrapText="1"/>
    </xf>
    <xf numFmtId="165" fontId="1" fillId="24" borderId="51" xfId="1" applyNumberFormat="1" applyFont="1" applyFill="1" applyBorder="1" applyAlignment="1">
      <alignment horizontal="center" wrapText="1"/>
    </xf>
    <xf numFmtId="166" fontId="1" fillId="24" borderId="52" xfId="1" applyNumberFormat="1" applyFont="1" applyFill="1" applyBorder="1" applyAlignment="1">
      <alignment horizontal="center" wrapText="1"/>
    </xf>
    <xf numFmtId="166" fontId="13" fillId="11" borderId="53" xfId="1" applyNumberFormat="1" applyFont="1" applyFill="1" applyBorder="1" applyAlignment="1">
      <alignment horizontal="center" vertical="center" wrapText="1"/>
    </xf>
    <xf numFmtId="166" fontId="19" fillId="11" borderId="41" xfId="1" applyNumberFormat="1" applyFont="1" applyFill="1" applyBorder="1" applyAlignment="1">
      <alignment horizontal="center" vertical="center" wrapText="1"/>
    </xf>
    <xf numFmtId="165" fontId="13" fillId="11" borderId="41" xfId="1" applyNumberFormat="1" applyFont="1" applyFill="1" applyBorder="1" applyAlignment="1">
      <alignment horizontal="center" vertical="center" wrapText="1"/>
    </xf>
    <xf numFmtId="166" fontId="13" fillId="11" borderId="57" xfId="1" applyNumberFormat="1" applyFont="1" applyFill="1" applyBorder="1" applyAlignment="1">
      <alignment horizontal="center" vertical="center" wrapText="1"/>
    </xf>
    <xf numFmtId="0" fontId="14" fillId="11" borderId="4" xfId="0" applyFont="1" applyFill="1" applyBorder="1" applyAlignment="1">
      <alignment horizontal="center" vertical="center" wrapText="1"/>
    </xf>
    <xf numFmtId="0" fontId="0" fillId="22" borderId="43" xfId="0" applyFill="1" applyBorder="1" applyAlignment="1">
      <alignment horizontal="center" vertical="center" wrapText="1"/>
    </xf>
    <xf numFmtId="0" fontId="0" fillId="22" borderId="26" xfId="0" applyFill="1" applyBorder="1" applyAlignment="1">
      <alignment horizontal="center" vertical="center" wrapText="1"/>
    </xf>
    <xf numFmtId="0" fontId="16" fillId="11" borderId="17"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Alignment="1">
      <alignment horizontal="center"/>
    </xf>
    <xf numFmtId="0" fontId="3" fillId="0" borderId="0" xfId="0" applyFont="1" applyFill="1" applyAlignment="1">
      <alignment horizontal="center" vertical="center" wrapText="1"/>
    </xf>
    <xf numFmtId="0" fontId="4" fillId="8" borderId="26" xfId="0" applyFont="1" applyFill="1" applyBorder="1" applyAlignment="1">
      <alignment vertical="center" wrapText="1"/>
    </xf>
    <xf numFmtId="0" fontId="4" fillId="8" borderId="27" xfId="0" applyFont="1" applyFill="1" applyBorder="1" applyAlignment="1">
      <alignment vertical="center" wrapText="1"/>
    </xf>
    <xf numFmtId="0" fontId="4" fillId="8" borderId="28"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7" fillId="16" borderId="0" xfId="0" applyFont="1" applyFill="1" applyAlignment="1">
      <alignment vertical="center" wrapText="1"/>
    </xf>
    <xf numFmtId="0" fontId="7" fillId="16" borderId="0" xfId="0" applyFont="1" applyFill="1" applyAlignment="1">
      <alignment horizontal="center" vertical="center" wrapText="1"/>
    </xf>
    <xf numFmtId="165" fontId="7" fillId="16" borderId="0" xfId="1" applyNumberFormat="1" applyFont="1" applyFill="1" applyAlignment="1">
      <alignment horizontal="center" vertical="center" wrapText="1"/>
    </xf>
    <xf numFmtId="9" fontId="7" fillId="16" borderId="0" xfId="2" applyFont="1" applyFill="1" applyAlignment="1">
      <alignment horizontal="center" vertical="center" wrapText="1"/>
    </xf>
    <xf numFmtId="165" fontId="7" fillId="2" borderId="0" xfId="1" applyNumberFormat="1" applyFont="1" applyFill="1" applyAlignment="1">
      <alignment horizontal="center" vertical="center" wrapText="1"/>
    </xf>
    <xf numFmtId="3" fontId="7" fillId="16" borderId="0" xfId="0" applyNumberFormat="1" applyFont="1" applyFill="1" applyAlignment="1">
      <alignment horizontal="center" vertical="center" wrapText="1"/>
    </xf>
    <xf numFmtId="10" fontId="7" fillId="16" borderId="0" xfId="2" applyNumberFormat="1" applyFont="1" applyFill="1" applyAlignment="1">
      <alignment horizontal="center" vertical="center" wrapText="1"/>
    </xf>
    <xf numFmtId="10" fontId="7" fillId="0" borderId="0" xfId="2" applyNumberFormat="1"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2" borderId="0" xfId="0" applyFill="1" applyAlignment="1">
      <alignment horizontal="center" vertical="center" wrapText="1"/>
    </xf>
    <xf numFmtId="4" fontId="7" fillId="0" borderId="0" xfId="0" applyNumberFormat="1" applyFont="1" applyFill="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164" fontId="0" fillId="0" borderId="0" xfId="1" applyFont="1" applyAlignment="1">
      <alignment horizontal="center" vertical="center" wrapText="1"/>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164" fontId="0" fillId="2" borderId="4" xfId="1" applyFont="1" applyFill="1" applyBorder="1" applyAlignment="1">
      <alignment horizontal="center" vertical="center" wrapText="1"/>
    </xf>
    <xf numFmtId="9" fontId="0" fillId="2" borderId="4" xfId="2" applyFont="1" applyFill="1" applyBorder="1" applyAlignment="1">
      <alignment horizontal="center" vertical="center" wrapText="1"/>
    </xf>
    <xf numFmtId="0" fontId="0" fillId="2" borderId="4" xfId="0" applyFill="1" applyBorder="1" applyAlignment="1">
      <alignment horizontal="center" vertical="center" wrapText="1"/>
    </xf>
    <xf numFmtId="164" fontId="0" fillId="2" borderId="4" xfId="1" applyNumberFormat="1" applyFont="1" applyFill="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4" fillId="12" borderId="1" xfId="0" applyFont="1" applyFill="1" applyBorder="1" applyAlignment="1">
      <alignment vertical="center" wrapText="1"/>
    </xf>
    <xf numFmtId="0" fontId="4" fillId="12" borderId="3" xfId="0" applyFont="1" applyFill="1" applyBorder="1" applyAlignment="1">
      <alignment vertical="center" wrapText="1"/>
    </xf>
    <xf numFmtId="0" fontId="4" fillId="11" borderId="2" xfId="0" applyFont="1" applyFill="1" applyBorder="1" applyAlignment="1">
      <alignment vertical="center" wrapText="1"/>
    </xf>
    <xf numFmtId="0" fontId="4" fillId="11" borderId="3" xfId="0" applyFont="1" applyFill="1" applyBorder="1" applyAlignment="1">
      <alignment vertical="center" wrapText="1"/>
    </xf>
    <xf numFmtId="0" fontId="4" fillId="4" borderId="15" xfId="0" applyFont="1" applyFill="1" applyBorder="1" applyAlignment="1">
      <alignment vertical="center" wrapText="1"/>
    </xf>
    <xf numFmtId="0" fontId="4" fillId="4" borderId="16" xfId="0" applyFont="1" applyFill="1" applyBorder="1" applyAlignment="1">
      <alignment vertical="center" wrapText="1"/>
    </xf>
    <xf numFmtId="0" fontId="4" fillId="5" borderId="17" xfId="0" applyFont="1" applyFill="1" applyBorder="1" applyAlignment="1">
      <alignment vertical="center" wrapText="1"/>
    </xf>
    <xf numFmtId="0" fontId="4" fillId="6" borderId="17" xfId="0" applyFont="1" applyFill="1" applyBorder="1" applyAlignment="1">
      <alignment vertical="center" wrapText="1"/>
    </xf>
    <xf numFmtId="0" fontId="4" fillId="6" borderId="16" xfId="0" applyFont="1" applyFill="1" applyBorder="1" applyAlignment="1">
      <alignment vertical="center" wrapText="1"/>
    </xf>
    <xf numFmtId="0" fontId="4" fillId="7" borderId="17" xfId="0" applyFont="1" applyFill="1" applyBorder="1" applyAlignment="1">
      <alignment vertical="center" wrapText="1"/>
    </xf>
    <xf numFmtId="0" fontId="4" fillId="8" borderId="17" xfId="0" applyFont="1" applyFill="1" applyBorder="1" applyAlignment="1">
      <alignment vertical="center" wrapText="1"/>
    </xf>
    <xf numFmtId="0" fontId="4" fillId="8" borderId="16" xfId="0" applyFont="1" applyFill="1" applyBorder="1" applyAlignment="1">
      <alignment vertical="center" wrapText="1"/>
    </xf>
    <xf numFmtId="0" fontId="4" fillId="4" borderId="17" xfId="0" applyFont="1" applyFill="1" applyBorder="1" applyAlignment="1">
      <alignment vertical="center" wrapText="1"/>
    </xf>
    <xf numFmtId="0" fontId="14" fillId="4" borderId="18" xfId="0" applyFont="1" applyFill="1" applyBorder="1" applyAlignment="1">
      <alignment vertical="center" wrapText="1"/>
    </xf>
    <xf numFmtId="0" fontId="4" fillId="3" borderId="25"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9" borderId="1" xfId="0" applyFont="1" applyFill="1" applyBorder="1" applyAlignment="1">
      <alignment vertical="center" wrapText="1"/>
    </xf>
    <xf numFmtId="0" fontId="4" fillId="9" borderId="2" xfId="0" applyFont="1" applyFill="1" applyBorder="1" applyAlignment="1">
      <alignment vertical="center" wrapText="1"/>
    </xf>
    <xf numFmtId="0" fontId="4" fillId="9" borderId="3" xfId="0" applyFont="1" applyFill="1" applyBorder="1" applyAlignment="1">
      <alignment vertical="center" wrapText="1"/>
    </xf>
    <xf numFmtId="0" fontId="4" fillId="10" borderId="6" xfId="0" applyFont="1" applyFill="1" applyBorder="1" applyAlignment="1">
      <alignment vertical="center" wrapText="1"/>
    </xf>
    <xf numFmtId="0" fontId="4" fillId="10" borderId="7" xfId="0" applyFont="1" applyFill="1" applyBorder="1" applyAlignment="1">
      <alignment vertical="center" wrapText="1"/>
    </xf>
    <xf numFmtId="0" fontId="4" fillId="10" borderId="8" xfId="0" applyFont="1" applyFill="1" applyBorder="1" applyAlignment="1">
      <alignment vertical="center" wrapText="1"/>
    </xf>
    <xf numFmtId="0" fontId="4" fillId="4" borderId="19" xfId="0" applyFont="1" applyFill="1" applyBorder="1" applyAlignment="1">
      <alignment vertical="center" wrapText="1"/>
    </xf>
    <xf numFmtId="0" fontId="4" fillId="4" borderId="9" xfId="0" applyFont="1" applyFill="1" applyBorder="1" applyAlignment="1">
      <alignment vertical="center" wrapText="1"/>
    </xf>
    <xf numFmtId="0" fontId="4" fillId="5" borderId="4" xfId="0" applyFont="1" applyFill="1" applyBorder="1" applyAlignment="1">
      <alignment vertical="center" wrapText="1"/>
    </xf>
    <xf numFmtId="0" fontId="4" fillId="6" borderId="4" xfId="0" applyFont="1" applyFill="1" applyBorder="1" applyAlignment="1">
      <alignment vertical="center" wrapText="1"/>
    </xf>
    <xf numFmtId="0" fontId="4" fillId="6" borderId="9" xfId="0" applyFont="1" applyFill="1" applyBorder="1" applyAlignment="1">
      <alignment vertical="center" wrapText="1"/>
    </xf>
    <xf numFmtId="0" fontId="4" fillId="7" borderId="4" xfId="0" applyFont="1" applyFill="1" applyBorder="1" applyAlignment="1">
      <alignment vertical="center" wrapText="1"/>
    </xf>
    <xf numFmtId="0" fontId="4" fillId="8" borderId="4" xfId="0" applyFont="1" applyFill="1" applyBorder="1" applyAlignment="1">
      <alignment vertical="center" wrapText="1"/>
    </xf>
    <xf numFmtId="0" fontId="4" fillId="8" borderId="9" xfId="0" applyFont="1" applyFill="1" applyBorder="1" applyAlignment="1">
      <alignment vertical="center" wrapText="1"/>
    </xf>
    <xf numFmtId="0" fontId="4" fillId="4" borderId="4" xfId="0" applyFont="1" applyFill="1" applyBorder="1" applyAlignment="1">
      <alignment vertical="center" wrapText="1"/>
    </xf>
    <xf numFmtId="0" fontId="14" fillId="4" borderId="20" xfId="0" applyFont="1" applyFill="1" applyBorder="1" applyAlignment="1">
      <alignment vertical="center" wrapText="1"/>
    </xf>
    <xf numFmtId="0" fontId="4" fillId="12"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10" borderId="11" xfId="0" applyFont="1" applyFill="1" applyBorder="1" applyAlignment="1">
      <alignment vertical="center" wrapText="1"/>
    </xf>
    <xf numFmtId="0" fontId="4" fillId="10" borderId="12" xfId="0" applyFont="1" applyFill="1" applyBorder="1" applyAlignment="1">
      <alignment vertical="center" wrapText="1"/>
    </xf>
    <xf numFmtId="0" fontId="4" fillId="10" borderId="13" xfId="0" applyFont="1" applyFill="1" applyBorder="1" applyAlignment="1">
      <alignment vertical="center" wrapText="1"/>
    </xf>
    <xf numFmtId="0" fontId="0" fillId="0" borderId="0" xfId="0" applyAlignment="1">
      <alignment horizontal="center" wrapText="1"/>
    </xf>
    <xf numFmtId="0" fontId="0" fillId="0" borderId="0" xfId="0" pivotButton="1"/>
    <xf numFmtId="0" fontId="0" fillId="0" borderId="0" xfId="0" applyAlignment="1">
      <alignment horizontal="left"/>
    </xf>
    <xf numFmtId="0" fontId="16" fillId="19" borderId="60" xfId="0" applyFont="1" applyFill="1" applyBorder="1" applyAlignment="1">
      <alignment horizontal="left"/>
    </xf>
    <xf numFmtId="0" fontId="0" fillId="0" borderId="0" xfId="0" applyNumberFormat="1"/>
    <xf numFmtId="0" fontId="16" fillId="19" borderId="60" xfId="0" applyNumberFormat="1" applyFont="1" applyFill="1" applyBorder="1"/>
    <xf numFmtId="0" fontId="0" fillId="25" borderId="0" xfId="0" applyNumberFormat="1" applyFill="1"/>
    <xf numFmtId="0" fontId="16" fillId="19" borderId="59" xfId="0" applyFont="1" applyFill="1" applyBorder="1" applyAlignment="1">
      <alignment wrapText="1"/>
    </xf>
    <xf numFmtId="0" fontId="16" fillId="25" borderId="59" xfId="0" applyFont="1" applyFill="1" applyBorder="1" applyAlignment="1">
      <alignment wrapText="1"/>
    </xf>
    <xf numFmtId="0" fontId="14" fillId="11" borderId="11" xfId="0" applyFont="1" applyFill="1" applyBorder="1" applyAlignment="1">
      <alignment horizontal="center" vertical="center" wrapText="1"/>
    </xf>
    <xf numFmtId="165" fontId="0" fillId="0" borderId="1" xfId="1" applyNumberFormat="1" applyFont="1" applyBorder="1"/>
    <xf numFmtId="165" fontId="1" fillId="24" borderId="6" xfId="1" applyNumberFormat="1" applyFont="1" applyFill="1" applyBorder="1" applyAlignment="1">
      <alignment horizontal="center" wrapText="1"/>
    </xf>
    <xf numFmtId="165" fontId="16" fillId="24" borderId="39" xfId="1" applyNumberFormat="1" applyFont="1" applyFill="1" applyBorder="1"/>
    <xf numFmtId="165" fontId="0" fillId="0" borderId="26" xfId="1" applyNumberFormat="1" applyFont="1" applyBorder="1"/>
    <xf numFmtId="0" fontId="16" fillId="11" borderId="4" xfId="0" applyFont="1" applyFill="1" applyBorder="1" applyAlignment="1">
      <alignment horizontal="center" vertical="center"/>
    </xf>
    <xf numFmtId="0" fontId="0" fillId="24" borderId="4" xfId="0" applyFill="1" applyBorder="1" applyAlignment="1">
      <alignment horizontal="right" vertical="center" wrapText="1"/>
    </xf>
    <xf numFmtId="0" fontId="17" fillId="24" borderId="4" xfId="0" applyFont="1" applyFill="1" applyBorder="1" applyAlignment="1">
      <alignment vertical="center"/>
    </xf>
    <xf numFmtId="165" fontId="16" fillId="24" borderId="4" xfId="1" applyNumberFormat="1" applyFont="1" applyFill="1" applyBorder="1"/>
    <xf numFmtId="165" fontId="1" fillId="22" borderId="4" xfId="1" applyNumberFormat="1" applyFont="1" applyFill="1" applyBorder="1" applyAlignment="1">
      <alignment horizontal="right"/>
    </xf>
    <xf numFmtId="0" fontId="0" fillId="22" borderId="4" xfId="0" applyFill="1" applyBorder="1" applyAlignment="1">
      <alignment horizontal="center" vertical="center" wrapText="1"/>
    </xf>
    <xf numFmtId="165" fontId="0" fillId="22" borderId="4" xfId="1" applyNumberFormat="1" applyFont="1" applyFill="1" applyBorder="1"/>
    <xf numFmtId="0" fontId="18" fillId="24" borderId="4" xfId="0" applyFont="1" applyFill="1" applyBorder="1" applyAlignment="1">
      <alignment vertical="center" wrapText="1"/>
    </xf>
    <xf numFmtId="0" fontId="17" fillId="24" borderId="4" xfId="0" applyFont="1" applyFill="1" applyBorder="1" applyAlignment="1">
      <alignment vertical="center" wrapText="1"/>
    </xf>
    <xf numFmtId="165" fontId="1" fillId="24" borderId="4" xfId="1" applyNumberFormat="1" applyFont="1" applyFill="1" applyBorder="1" applyAlignment="1">
      <alignment horizontal="center" wrapText="1"/>
    </xf>
    <xf numFmtId="0" fontId="0" fillId="24" borderId="43" xfId="0" applyFill="1" applyBorder="1" applyAlignment="1">
      <alignment horizontal="center" vertical="center" wrapText="1"/>
    </xf>
    <xf numFmtId="165" fontId="16" fillId="24" borderId="20" xfId="1" applyNumberFormat="1" applyFont="1" applyFill="1" applyBorder="1"/>
    <xf numFmtId="165" fontId="1" fillId="24" borderId="20" xfId="1" applyNumberFormat="1" applyFont="1" applyFill="1" applyBorder="1" applyAlignment="1">
      <alignment horizontal="center" wrapText="1"/>
    </xf>
    <xf numFmtId="166" fontId="13" fillId="11" borderId="45" xfId="1" applyNumberFormat="1" applyFont="1" applyFill="1" applyBorder="1" applyAlignment="1">
      <alignment horizontal="center" vertical="center" wrapText="1"/>
    </xf>
    <xf numFmtId="166" fontId="19" fillId="11" borderId="40" xfId="1" applyNumberFormat="1" applyFont="1" applyFill="1" applyBorder="1" applyAlignment="1">
      <alignment horizontal="center" vertical="center" wrapText="1"/>
    </xf>
    <xf numFmtId="165" fontId="13" fillId="11" borderId="40" xfId="1" applyNumberFormat="1" applyFont="1" applyFill="1" applyBorder="1" applyAlignment="1">
      <alignment horizontal="center" vertical="center" wrapText="1"/>
    </xf>
    <xf numFmtId="165" fontId="13" fillId="11" borderId="47" xfId="1" applyNumberFormat="1"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0" borderId="0" xfId="0" applyFill="1"/>
    <xf numFmtId="0" fontId="0" fillId="0" borderId="0" xfId="0" applyFill="1" applyBorder="1"/>
    <xf numFmtId="0" fontId="20"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22" borderId="42"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0" fillId="24" borderId="44" xfId="0"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0" fillId="0" borderId="0" xfId="0" applyNumberFormat="1" applyFill="1" applyBorder="1"/>
    <xf numFmtId="0" fontId="4" fillId="4" borderId="1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2" fillId="0" borderId="29"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3" fontId="0" fillId="0" borderId="4" xfId="0" applyNumberFormat="1" applyBorder="1" applyAlignment="1">
      <alignment horizontal="center" vertical="center"/>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15" fillId="0" borderId="0" xfId="0" applyFont="1" applyFill="1" applyBorder="1" applyAlignment="1">
      <alignment horizontal="center"/>
    </xf>
    <xf numFmtId="0" fontId="0" fillId="22" borderId="44" xfId="0" applyFont="1" applyFill="1" applyBorder="1" applyAlignment="1">
      <alignment horizontal="center" vertical="center" wrapText="1"/>
    </xf>
    <xf numFmtId="0" fontId="0" fillId="22" borderId="19" xfId="0" applyFont="1" applyFill="1" applyBorder="1" applyAlignment="1">
      <alignment horizontal="center" vertical="center" wrapText="1"/>
    </xf>
    <xf numFmtId="0" fontId="0" fillId="22" borderId="1" xfId="0" applyFill="1" applyBorder="1" applyAlignment="1">
      <alignment horizontal="center" vertical="center" wrapText="1"/>
    </xf>
    <xf numFmtId="0" fontId="11" fillId="0" borderId="0" xfId="0" applyFont="1" applyBorder="1" applyAlignment="1">
      <alignment horizontal="center" vertical="center" wrapText="1"/>
    </xf>
    <xf numFmtId="0" fontId="16" fillId="11" borderId="15" xfId="0" applyFont="1" applyFill="1" applyBorder="1" applyAlignment="1">
      <alignment horizontal="center" vertical="center"/>
    </xf>
    <xf numFmtId="0" fontId="16" fillId="11" borderId="50" xfId="0" applyFont="1" applyFill="1" applyBorder="1" applyAlignment="1">
      <alignment horizontal="center" vertical="center"/>
    </xf>
    <xf numFmtId="0" fontId="16" fillId="11" borderId="16" xfId="0"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16" fillId="11" borderId="16"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58" xfId="0" applyFont="1" applyFill="1" applyBorder="1" applyAlignment="1">
      <alignment horizontal="center" vertical="center"/>
    </xf>
    <xf numFmtId="0" fontId="16" fillId="11" borderId="54" xfId="0" applyFont="1" applyFill="1" applyBorder="1" applyAlignment="1">
      <alignment horizontal="center" vertical="center"/>
    </xf>
    <xf numFmtId="0" fontId="0" fillId="22" borderId="42" xfId="0" applyFont="1" applyFill="1" applyBorder="1" applyAlignment="1">
      <alignment horizontal="center" vertical="center" wrapText="1"/>
    </xf>
    <xf numFmtId="0" fontId="0" fillId="22" borderId="43" xfId="0" applyFont="1" applyFill="1" applyBorder="1" applyAlignment="1">
      <alignment horizontal="center" vertical="center" wrapText="1"/>
    </xf>
    <xf numFmtId="0" fontId="0" fillId="22" borderId="26" xfId="0" applyFill="1" applyBorder="1" applyAlignment="1">
      <alignment horizontal="center" vertical="center" wrapText="1"/>
    </xf>
    <xf numFmtId="0" fontId="0" fillId="22" borderId="50" xfId="0" applyFont="1" applyFill="1" applyBorder="1" applyAlignment="1">
      <alignment horizontal="center" vertical="center" wrapText="1"/>
    </xf>
    <xf numFmtId="0" fontId="0" fillId="22" borderId="11" xfId="0" applyFill="1" applyBorder="1" applyAlignment="1">
      <alignment horizontal="center" vertical="center" wrapText="1"/>
    </xf>
    <xf numFmtId="0" fontId="0" fillId="22" borderId="43" xfId="0" applyFill="1" applyBorder="1" applyAlignment="1">
      <alignment horizontal="center" vertical="center" wrapText="1"/>
    </xf>
    <xf numFmtId="0" fontId="0" fillId="22" borderId="4" xfId="0" applyFill="1" applyBorder="1" applyAlignment="1">
      <alignment horizontal="center" vertical="center" wrapText="1"/>
    </xf>
    <xf numFmtId="0" fontId="16" fillId="11" borderId="42" xfId="0" applyFont="1" applyFill="1" applyBorder="1" applyAlignment="1">
      <alignment horizontal="center" vertical="center"/>
    </xf>
    <xf numFmtId="0" fontId="16" fillId="11" borderId="43" xfId="0" applyFont="1" applyFill="1" applyBorder="1" applyAlignment="1">
      <alignment horizontal="center" vertical="center"/>
    </xf>
    <xf numFmtId="0" fontId="16" fillId="11" borderId="17"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11" borderId="4" xfId="0" applyFont="1" applyFill="1" applyBorder="1" applyAlignment="1">
      <alignment horizontal="center" vertical="center"/>
    </xf>
    <xf numFmtId="0" fontId="16" fillId="11" borderId="18" xfId="0" applyFont="1" applyFill="1" applyBorder="1" applyAlignment="1">
      <alignment horizontal="center" vertical="center"/>
    </xf>
    <xf numFmtId="0" fontId="16" fillId="11" borderId="20" xfId="0" applyFont="1" applyFill="1" applyBorder="1" applyAlignment="1">
      <alignment horizontal="center" vertical="center"/>
    </xf>
  </cellXfs>
  <cellStyles count="3">
    <cellStyle name="Millares" xfId="1" builtinId="3"/>
    <cellStyle name="Normal" xfId="0" builtinId="0"/>
    <cellStyle name="Porcentaje" xfId="2" builtinId="5"/>
  </cellStyles>
  <dxfs count="244">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4"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4"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general" vertical="center" textRotation="0" wrapText="1" indent="0" justifyLastLine="0" shrinkToFit="0" readingOrder="0"/>
    </dxf>
    <dxf>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alignment vertical="center" textRotation="0" wrapText="1" indent="0" justifyLastLine="0" shrinkToFit="0" readingOrder="0"/>
    </dxf>
    <dxf>
      <border outline="0">
        <left style="thin">
          <color rgb="FF000000"/>
        </left>
        <right style="thin">
          <color rgb="FF000000"/>
        </right>
        <top style="thin">
          <color rgb="FF000000"/>
        </top>
      </border>
    </dxf>
    <dxf>
      <font>
        <b val="0"/>
        <i val="0"/>
        <strike val="0"/>
        <condense val="0"/>
        <extend val="0"/>
        <outline val="0"/>
        <shadow val="0"/>
        <u val="none"/>
        <vertAlign val="baseline"/>
        <sz val="10"/>
        <color rgb="FF000000"/>
        <name val="Calibri"/>
        <scheme val="none"/>
      </font>
      <fill>
        <patternFill patternType="none">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3" formatCode="0%"/>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ill>
        <patternFill patternType="none">
          <bgColor auto="1"/>
        </patternFill>
      </fill>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4" formatCode="#,##0.0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165" formatCode="_ * #,##0_ ;_ * \-#,##0_ ;_ * &quot;-&quot;??_ ;_ @_ "/>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0" formatCode="General"/>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ill>
        <patternFill patternType="none">
          <fgColor indexed="64"/>
          <bgColor indexed="65"/>
        </patternFill>
      </fill>
      <alignment horizontal="general" vertical="center" textRotation="0" wrapText="0" indent="0" justifyLastLine="0" shrinkToFit="0" readingOrder="0"/>
    </dxf>
    <dxf>
      <fill>
        <patternFill patternType="none">
          <bgColor auto="1"/>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0"/>
        <color theme="1"/>
        <name val="Calibri"/>
        <scheme val="minor"/>
      </font>
      <fill>
        <patternFill patternType="none">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theme="4"/>
          <bgColor theme="4"/>
        </patternFill>
      </fill>
      <alignment horizontal="center" vertical="center" textRotation="0" wrapText="1" indent="0" justifyLastLine="0" shrinkToFit="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9900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Lpam" refreshedDate="43039.831703356482" createdVersion="6" refreshedVersion="6" minRefreshableVersion="3" recordCount="96">
  <cacheSource type="worksheet">
    <worksheetSource ref="A1:N97" sheet="TD(96)"/>
  </cacheSource>
  <cacheFields count="14">
    <cacheField name="FONDO CONCURSABLE" numFmtId="0">
      <sharedItems/>
    </cacheField>
    <cacheField name="SNIP" numFmtId="0">
      <sharedItems/>
    </cacheField>
    <cacheField name="ORGANIZACIÓN" numFmtId="0">
      <sharedItems/>
    </cacheField>
    <cacheField name="Proyecto" numFmtId="0">
      <sharedItems/>
    </cacheField>
    <cacheField name="LINEA" numFmtId="0">
      <sharedItems containsBlank="1" count="26">
        <s v="Riego Tecnificado "/>
        <s v="GALLINAS"/>
        <s v="FRUTALES"/>
        <s v="TARA"/>
        <s v="PALTA"/>
        <s v="CUYES"/>
        <s v="PALTA "/>
        <s v="PAPA"/>
        <s v="LECHE"/>
        <s v="MANZANILLA"/>
        <s v="GRANOS ANDINOS"/>
        <s v="TRUCHAS"/>
        <s v="GANADO LECHERO"/>
        <s v="OVINOS"/>
        <s v="MAIZ"/>
        <s v="CAÑA DE AZUCAR"/>
        <s v="MANZANA"/>
        <s v="CIRUELO"/>
        <s v="CERDOS"/>
        <s v="MENESTRAS"/>
        <s v="LACTEOS"/>
        <s v="PANIFICACION"/>
        <s v="CEREALES"/>
        <s v="ARTESANIA EN TELAR"/>
        <m u="1"/>
        <s v="MAIZ " u="1"/>
      </sharedItems>
    </cacheField>
    <cacheField name="DPTO" numFmtId="0">
      <sharedItems count="4">
        <s v="APURIMAC"/>
        <s v="AYACUCHO"/>
        <s v="HUANCAVELICA"/>
        <s v="JUNIN"/>
      </sharedItems>
    </cacheField>
    <cacheField name="PROVINCIA" numFmtId="0">
      <sharedItems/>
    </cacheField>
    <cacheField name="DISTRITO" numFmtId="0">
      <sharedItems/>
    </cacheField>
    <cacheField name="COMPONENTE" numFmtId="0">
      <sharedItems count="2">
        <s v="DC"/>
        <s v="NR"/>
      </sharedItems>
    </cacheField>
    <cacheField name="ESTADO" numFmtId="0">
      <sharedItems/>
    </cacheField>
    <cacheField name="APORTE ALIADOS" numFmtId="0">
      <sharedItems containsSemiMixedTypes="0" containsString="0" containsNumber="1" minValue="19670" maxValue="57736.7"/>
    </cacheField>
    <cacheField name="APORTE BENEFICIARIOS" numFmtId="0">
      <sharedItems containsSemiMixedTypes="0" containsString="0" containsNumber="1" minValue="7002" maxValue="24744.3"/>
    </cacheField>
    <cacheField name="OTROS APORTES" numFmtId="0">
      <sharedItems containsSemiMixedTypes="0" containsString="0" containsNumber="1" containsInteger="1" minValue="0" maxValue="11152"/>
    </cacheField>
    <cacheField name="MONTO TOTAL" numFmtId="0">
      <sharedItems containsSemiMixedTypes="0" containsString="0" containsNumber="1" minValue="28100" maxValue="8248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pam" refreshedDate="43039.831703587966" createdVersion="6" refreshedVersion="6" minRefreshableVersion="3" recordCount="53">
  <cacheSource type="worksheet">
    <worksheetSource name="Tabla15"/>
  </cacheSource>
  <cacheFields count="53">
    <cacheField name="Nº" numFmtId="0">
      <sharedItems containsSemiMixedTypes="0" containsString="0" containsNumber="1" containsInteger="1" minValue="1" maxValue="53" count="5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sharedItems>
    </cacheField>
    <cacheField name="TIPO" numFmtId="0">
      <sharedItems count="3">
        <s v="PDN"/>
        <s v="PDT"/>
        <s v="PDNC"/>
      </sharedItems>
    </cacheField>
    <cacheField name="Nº CONTRATO" numFmtId="0">
      <sharedItems/>
    </cacheField>
    <cacheField name="NOMBRE DE LA ORGANIZACION" numFmtId="0">
      <sharedItems/>
    </cacheField>
    <cacheField name="DENOMINACION DEL PLAN" numFmtId="0">
      <sharedItems longText="1"/>
    </cacheField>
    <cacheField name="RUBRO" numFmtId="0">
      <sharedItems/>
    </cacheField>
    <cacheField name="LINEA" numFmtId="0">
      <sharedItems count="23">
        <s v="CRIANZA DE PORCINOS"/>
        <s v="TUBERCULOS ANDINOS"/>
        <s v="CRIANZA DE AVES DE CORRAL"/>
        <s v="HORTALIZAS"/>
        <s v="PROTECCION DE MANANTES"/>
        <s v="GALLINAS DE POSTURA"/>
        <s v="CRIANZA DE CUYES"/>
        <s v="SISTEMA ELEMENTAL DE AGUA PARA CONSUMO HUMANO"/>
        <s v="DERIVADOS LACTEOS"/>
        <s v="CRIANZA DE VACUNOS"/>
        <s v="ALIMENTOS PROCESADOS"/>
        <s v="CEREALES ANDINOS"/>
        <s v="QUINUA ORGÃNICA"/>
        <s v="CRIANZA DE OVINOS"/>
        <s v="MANEJO Y SELECCIÃ“N GANADERA"/>
        <s v="CULTIVOS TRADICIONALES ANDINOS"/>
        <s v="MEJORAMIENTO DE SISTEMAS DE RIEGO POR ASPERSION"/>
        <s v="MEJORAMIENTO GENETICO - ANIMALES MENORES"/>
        <s v="CULTIVOS Y CRIANZAS DE SUBSISTENCIA"/>
        <s v="USO DEL AGUA"/>
        <s v="CONSERVACION DE SUELOS"/>
        <s v="FRUTALES"/>
        <s v="PAPA NATIVA"/>
      </sharedItems>
    </cacheField>
    <cacheField name="DPTO" numFmtId="0">
      <sharedItems count="2">
        <s v="APURIMAC"/>
        <s v="HUANCAVELICA"/>
      </sharedItems>
    </cacheField>
    <cacheField name="PROVINCIA" numFmtId="0">
      <sharedItems/>
    </cacheField>
    <cacheField name="DISTRITO" numFmtId="0">
      <sharedItems/>
    </cacheField>
    <cacheField name="C.POBLADO" numFmtId="0">
      <sharedItems/>
    </cacheField>
    <cacheField name="LATITUD" numFmtId="0">
      <sharedItems containsSemiMixedTypes="0" containsString="0" containsNumber="1" minValue="-13.560250282289999" maxValue="-12.20404338837"/>
    </cacheField>
    <cacheField name="LONGITUD" numFmtId="0">
      <sharedItems containsSemiMixedTypes="0" containsString="0" containsNumber="1" minValue="-75.085731506350001" maxValue="-73.288635253910002"/>
    </cacheField>
    <cacheField name="ALTITUD" numFmtId="3">
      <sharedItems containsSemiMixedTypes="0" containsString="0" containsNumber="1" containsInteger="1" minValue="2618" maxValue="3946"/>
    </cacheField>
    <cacheField name="QUINTIL" numFmtId="0">
      <sharedItems containsSemiMixedTypes="0" containsString="0" containsNumber="1" containsInteger="1" minValue="1" maxValue="2"/>
    </cacheField>
    <cacheField name="Nº SOCIOS" numFmtId="0">
      <sharedItems containsSemiMixedTypes="0" containsString="0" containsNumber="1" containsInteger="1" minValue="12" maxValue="67"/>
    </cacheField>
    <cacheField name="Nº _x000a_SOCIOS_x000a_ (M)" numFmtId="0">
      <sharedItems containsSemiMixedTypes="0" containsString="0" containsNumber="1" containsInteger="1" minValue="4" maxValue="44"/>
    </cacheField>
    <cacheField name="Nº SOCIOS (F)" numFmtId="0">
      <sharedItems containsSemiMixedTypes="0" containsString="0" containsNumber="1" containsInteger="1" minValue="0" maxValue="43"/>
    </cacheField>
    <cacheField name="Nº SOCIO JOVEN(M)" numFmtId="0">
      <sharedItems containsSemiMixedTypes="0" containsString="0" containsNumber="1" containsInteger="1" minValue="0" maxValue="7"/>
    </cacheField>
    <cacheField name="Nº SOCIO JOVEN(F)" numFmtId="0">
      <sharedItems containsSemiMixedTypes="0" containsString="0" containsNumber="1" containsInteger="1" minValue="0" maxValue="8"/>
    </cacheField>
    <cacheField name="TOTAL JÓVENES" numFmtId="0">
      <sharedItems containsSemiMixedTypes="0" containsString="0" containsNumber="1" containsInteger="1" minValue="0" maxValue="14"/>
    </cacheField>
    <cacheField name="FAMILIAS" numFmtId="0">
      <sharedItems containsSemiMixedTypes="0" containsString="0" containsNumber="1" containsInteger="1" minValue="4" maxValue="60"/>
    </cacheField>
    <cacheField name="Nº FAMILIAS(M)" numFmtId="0">
      <sharedItems containsSemiMixedTypes="0" containsString="0" containsNumber="1" containsInteger="1" minValue="2" maxValue="44"/>
    </cacheField>
    <cacheField name="Nº FAMILIAS(F)" numFmtId="0">
      <sharedItems containsSemiMixedTypes="0" containsString="0" containsNumber="1" containsInteger="1" minValue="0" maxValue="28"/>
    </cacheField>
    <cacheField name="Nº FAMILIA JOVEN(M)" numFmtId="0">
      <sharedItems containsSemiMixedTypes="0" containsString="0" containsNumber="1" containsInteger="1" minValue="0" maxValue="7"/>
    </cacheField>
    <cacheField name="Nº FAMILIA JOVEN(F)" numFmtId="0">
      <sharedItems containsSemiMixedTypes="0" containsString="0" containsNumber="1" containsInteger="1" minValue="0" maxValue="6"/>
    </cacheField>
    <cacheField name="TOTAL FAMILIAS JÓVENES" numFmtId="0">
      <sharedItems containsSemiMixedTypes="0" containsString="0" containsNumber="1" containsInteger="1" minValue="0" maxValue="11"/>
    </cacheField>
    <cacheField name="Aliados II" numFmtId="4">
      <sharedItems containsSemiMixedTypes="0" containsString="0" containsNumber="1" containsInteger="1" minValue="20600" maxValue="79600"/>
    </cacheField>
    <cacheField name="En efectivo" numFmtId="0">
      <sharedItems containsSemiMixedTypes="0" containsString="0" containsNumber="1" minValue="0" maxValue="35960"/>
    </cacheField>
    <cacheField name="En especie" numFmtId="0">
      <sharedItems containsSemiMixedTypes="0" containsString="0" containsNumber="1" containsInteger="1" minValue="0" maxValue="9360"/>
    </cacheField>
    <cacheField name="TOTAL" numFmtId="4">
      <sharedItems containsSemiMixedTypes="0" containsString="0" containsNumber="1" minValue="29000" maxValue="113419.48"/>
    </cacheField>
    <cacheField name="CALIFICACION" numFmtId="0">
      <sharedItems/>
    </cacheField>
    <cacheField name="_x000a_Puntaje" numFmtId="0">
      <sharedItems containsSemiMixedTypes="0" containsString="0" containsNumber="1" minValue="58.5" maxValue="88.5"/>
    </cacheField>
    <cacheField name="Sin proyecto" numFmtId="0">
      <sharedItems containsSemiMixedTypes="0" containsString="0" containsNumber="1" containsInteger="1" minValue="0" maxValue="94000"/>
    </cacheField>
    <cacheField name="Con proyecto" numFmtId="0">
      <sharedItems containsSemiMixedTypes="0" containsString="0" containsNumber="1" containsInteger="1" minValue="0" maxValue="130880"/>
    </cacheField>
    <cacheField name="Incremento" numFmtId="0">
      <sharedItems containsSemiMixedTypes="0" containsString="0" containsNumber="1" containsInteger="1" minValue="0" maxValue="60000"/>
    </cacheField>
    <cacheField name="INCREMENTO (%)" numFmtId="9">
      <sharedItems containsMixedTypes="1" containsNumber="1" minValue="0.125" maxValue="4"/>
    </cacheField>
    <cacheField name="Sin proyecto2" numFmtId="0">
      <sharedItems containsSemiMixedTypes="0" containsString="0" containsNumber="1" containsInteger="1" minValue="0" maxValue="329000"/>
    </cacheField>
    <cacheField name="Con proyecto3" numFmtId="0">
      <sharedItems containsSemiMixedTypes="0" containsString="0" containsNumber="1" containsInteger="1" minValue="0" maxValue="536370"/>
    </cacheField>
    <cacheField name="Incremento (S/)" numFmtId="0">
      <sharedItems containsSemiMixedTypes="0" containsString="0" containsNumber="1" containsInteger="1" minValue="0" maxValue="207370"/>
    </cacheField>
    <cacheField name="INCREMENTO (%)4" numFmtId="9">
      <sharedItems containsMixedTypes="1" containsNumber="1" minValue="0.24684610075914423" maxValue="4.416666666666667"/>
    </cacheField>
    <cacheField name="Sin proyecto5" numFmtId="0">
      <sharedItems containsSemiMixedTypes="0" containsString="0" containsNumber="1" containsInteger="1" minValue="0" maxValue="83083"/>
    </cacheField>
    <cacheField name="Con proyecto6" numFmtId="0">
      <sharedItems containsSemiMixedTypes="0" containsString="0" containsNumber="1" containsInteger="1" minValue="0" maxValue="116968"/>
    </cacheField>
    <cacheField name="Incremento (S/)7" numFmtId="0">
      <sharedItems containsSemiMixedTypes="0" containsString="0" containsNumber="1" containsInteger="1" minValue="0" maxValue="65000"/>
    </cacheField>
    <cacheField name="INCREMENTO (%)8" numFmtId="9">
      <sharedItems containsMixedTypes="1" containsNumber="1" minValue="8.6956521739130432E-2" maxValue="5.5454545454545459"/>
    </cacheField>
    <cacheField name="Sin proyecto9" numFmtId="0">
      <sharedItems containsSemiMixedTypes="0" containsString="0" containsNumber="1" containsInteger="1" minValue="0" maxValue="290791"/>
    </cacheField>
    <cacheField name="Con proyecto10" numFmtId="0">
      <sharedItems containsSemiMixedTypes="0" containsString="0" containsNumber="1" containsInteger="1" minValue="0" maxValue="478273"/>
    </cacheField>
    <cacheField name="Incremento (S/)11" numFmtId="0">
      <sharedItems containsSemiMixedTypes="0" containsString="0" containsNumber="1" containsInteger="1" minValue="0" maxValue="187482"/>
    </cacheField>
    <cacheField name="INCREMENTO (%)12" numFmtId="9">
      <sharedItems containsMixedTypes="1" containsNumber="1" minValue="0.16459627329192547" maxValue="6.0909090909090908"/>
    </cacheField>
    <cacheField name="Sin proyecto13" numFmtId="3">
      <sharedItems containsSemiMixedTypes="0" containsString="0" containsNumber="1" containsInteger="1" minValue="4850" maxValue="173650"/>
    </cacheField>
    <cacheField name="Con proyecto14" numFmtId="3">
      <sharedItems containsSemiMixedTypes="0" containsString="0" containsNumber="1" containsInteger="1" minValue="14130" maxValue="109421"/>
    </cacheField>
    <cacheField name="Incremento (S/)15" numFmtId="3">
      <sharedItems containsSemiMixedTypes="0" containsString="0" containsNumber="1" containsInteger="1" minValue="14130" maxValue="109421"/>
    </cacheField>
    <cacheField name="Incremento (%)16" numFmtId="9">
      <sharedItems containsSemiMixedTypes="0" containsString="0" containsNumber="1" minValue="0.28178438661710037" maxValue="3.397938144329896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pam" refreshedDate="43039.831703703705" createdVersion="6" refreshedVersion="6" minRefreshableVersion="3" recordCount="53">
  <cacheSource type="worksheet">
    <worksheetSource name="Tabla1"/>
  </cacheSource>
  <cacheFields count="53">
    <cacheField name="Nº" numFmtId="0">
      <sharedItems containsSemiMixedTypes="0" containsString="0" containsNumber="1" containsInteger="1" minValue="1" maxValue="53"/>
    </cacheField>
    <cacheField name="TIPO" numFmtId="0">
      <sharedItems count="3">
        <s v="PDN"/>
        <s v="PDT"/>
        <s v="PDNC"/>
      </sharedItems>
    </cacheField>
    <cacheField name="Nº CONTRATO" numFmtId="0">
      <sharedItems/>
    </cacheField>
    <cacheField name="NOMBRE DE LA ORGANIZACION" numFmtId="0">
      <sharedItems/>
    </cacheField>
    <cacheField name="DENOMINACION DEL PLAN" numFmtId="0">
      <sharedItems longText="1"/>
    </cacheField>
    <cacheField name="RUBRO" numFmtId="0">
      <sharedItems/>
    </cacheField>
    <cacheField name="LINEA" numFmtId="0">
      <sharedItems/>
    </cacheField>
    <cacheField name="DPTO" numFmtId="0">
      <sharedItems/>
    </cacheField>
    <cacheField name="PROVINCIA" numFmtId="0">
      <sharedItems count="4">
        <s v="ANDAHUAYLAS"/>
        <s v="CHINCHEROS"/>
        <s v="CHURCAMPA"/>
        <s v="TAYACAJA"/>
      </sharedItems>
    </cacheField>
    <cacheField name="DISTRITO" numFmtId="0">
      <sharedItems count="14">
        <s v="ANDARAPA"/>
        <s v="OCOBAMBA"/>
        <s v="KAQUIABAMBA"/>
        <s v="HUACCANA"/>
        <s v="CHINCHIHUASI"/>
        <s v="HUARIBAMBA"/>
        <s v="PAZOS"/>
        <s v="SAN PEDRO DE CORIS"/>
        <s v="PACHAMARCA"/>
        <s v="PAMPAS"/>
        <s v="ACOSTAMBO"/>
        <s v="AHUAYCHA"/>
        <s v="PAUCARBAMBA"/>
        <s v="ACRAQUIA"/>
      </sharedItems>
    </cacheField>
    <cacheField name="C.POBLADO" numFmtId="0">
      <sharedItems/>
    </cacheField>
    <cacheField name="LATITUD" numFmtId="0">
      <sharedItems containsSemiMixedTypes="0" containsString="0" containsNumber="1" minValue="-13.560250282289999" maxValue="-12.20404338837"/>
    </cacheField>
    <cacheField name="LONGITUD" numFmtId="0">
      <sharedItems containsSemiMixedTypes="0" containsString="0" containsNumber="1" minValue="-75.085731506350001" maxValue="-73.288635253910002"/>
    </cacheField>
    <cacheField name="ALTITUD" numFmtId="3">
      <sharedItems containsSemiMixedTypes="0" containsString="0" containsNumber="1" containsInteger="1" minValue="2618" maxValue="3946"/>
    </cacheField>
    <cacheField name="QUINTIL" numFmtId="0">
      <sharedItems containsSemiMixedTypes="0" containsString="0" containsNumber="1" containsInteger="1" minValue="1" maxValue="2"/>
    </cacheField>
    <cacheField name="Nº SOCIOS" numFmtId="0">
      <sharedItems containsSemiMixedTypes="0" containsString="0" containsNumber="1" containsInteger="1" minValue="12" maxValue="67"/>
    </cacheField>
    <cacheField name="Nº _x000a_SOCIOS_x000a_ (M)" numFmtId="0">
      <sharedItems containsSemiMixedTypes="0" containsString="0" containsNumber="1" containsInteger="1" minValue="4" maxValue="44"/>
    </cacheField>
    <cacheField name="Nº SOCIOS (F)" numFmtId="0">
      <sharedItems containsSemiMixedTypes="0" containsString="0" containsNumber="1" containsInteger="1" minValue="0" maxValue="43"/>
    </cacheField>
    <cacheField name="Nº SOCIO JOVEN(M)" numFmtId="0">
      <sharedItems containsSemiMixedTypes="0" containsString="0" containsNumber="1" containsInteger="1" minValue="0" maxValue="7"/>
    </cacheField>
    <cacheField name="Nº SOCIO JOVEN(F)" numFmtId="0">
      <sharedItems containsSemiMixedTypes="0" containsString="0" containsNumber="1" containsInteger="1" minValue="0" maxValue="8"/>
    </cacheField>
    <cacheField name="TOTAL JÓVENES" numFmtId="0">
      <sharedItems containsSemiMixedTypes="0" containsString="0" containsNumber="1" containsInteger="1" minValue="0" maxValue="14"/>
    </cacheField>
    <cacheField name="FAMILIAS" numFmtId="0">
      <sharedItems containsSemiMixedTypes="0" containsString="0" containsNumber="1" containsInteger="1" minValue="4" maxValue="60"/>
    </cacheField>
    <cacheField name="Nº FAMILIAS(M)" numFmtId="0">
      <sharedItems containsSemiMixedTypes="0" containsString="0" containsNumber="1" containsInteger="1" minValue="2" maxValue="44"/>
    </cacheField>
    <cacheField name="Nº FAMILIAS(F)" numFmtId="0">
      <sharedItems containsSemiMixedTypes="0" containsString="0" containsNumber="1" containsInteger="1" minValue="0" maxValue="28"/>
    </cacheField>
    <cacheField name="Nº FAMILIA JOVEN(M)" numFmtId="0">
      <sharedItems containsSemiMixedTypes="0" containsString="0" containsNumber="1" containsInteger="1" minValue="0" maxValue="7"/>
    </cacheField>
    <cacheField name="Nº FAMILIA JOVEN(F)" numFmtId="0">
      <sharedItems containsSemiMixedTypes="0" containsString="0" containsNumber="1" containsInteger="1" minValue="0" maxValue="6"/>
    </cacheField>
    <cacheField name="TOTAL FAMILIAS JÓVENES" numFmtId="0">
      <sharedItems containsSemiMixedTypes="0" containsString="0" containsNumber="1" containsInteger="1" minValue="0" maxValue="11"/>
    </cacheField>
    <cacheField name="Aliados II" numFmtId="4">
      <sharedItems containsSemiMixedTypes="0" containsString="0" containsNumber="1" containsInteger="1" minValue="20600" maxValue="79600"/>
    </cacheField>
    <cacheField name="En efectivo" numFmtId="0">
      <sharedItems containsSemiMixedTypes="0" containsString="0" containsNumber="1" minValue="0" maxValue="35960"/>
    </cacheField>
    <cacheField name="En especie" numFmtId="0">
      <sharedItems containsSemiMixedTypes="0" containsString="0" containsNumber="1" containsInteger="1" minValue="0" maxValue="9360"/>
    </cacheField>
    <cacheField name="TOTAL" numFmtId="4">
      <sharedItems containsSemiMixedTypes="0" containsString="0" containsNumber="1" minValue="29000" maxValue="113419.48"/>
    </cacheField>
    <cacheField name="CALIFICACION" numFmtId="0">
      <sharedItems count="3">
        <s v="Exitoso"/>
        <s v="Muy Exitoso"/>
        <s v="Poco Exitoso"/>
      </sharedItems>
    </cacheField>
    <cacheField name="_x000a_Puntaje" numFmtId="0">
      <sharedItems containsSemiMixedTypes="0" containsString="0" containsNumber="1" minValue="58.5" maxValue="88.5"/>
    </cacheField>
    <cacheField name="Sin proyecto" numFmtId="0">
      <sharedItems containsSemiMixedTypes="0" containsString="0" containsNumber="1" containsInteger="1" minValue="0" maxValue="94000"/>
    </cacheField>
    <cacheField name="Con proyecto" numFmtId="0">
      <sharedItems containsSemiMixedTypes="0" containsString="0" containsNumber="1" containsInteger="1" minValue="0" maxValue="130880"/>
    </cacheField>
    <cacheField name="Incremento" numFmtId="0">
      <sharedItems containsSemiMixedTypes="0" containsString="0" containsNumber="1" containsInteger="1" minValue="0" maxValue="60000"/>
    </cacheField>
    <cacheField name="INCREMENTO (%)" numFmtId="9">
      <sharedItems containsMixedTypes="1" containsNumber="1" minValue="0.125" maxValue="4"/>
    </cacheField>
    <cacheField name="Sin proyecto2" numFmtId="0">
      <sharedItems containsSemiMixedTypes="0" containsString="0" containsNumber="1" containsInteger="1" minValue="0" maxValue="329000"/>
    </cacheField>
    <cacheField name="Con proyecto3" numFmtId="0">
      <sharedItems containsSemiMixedTypes="0" containsString="0" containsNumber="1" containsInteger="1" minValue="0" maxValue="536370"/>
    </cacheField>
    <cacheField name="Incremento (S/)" numFmtId="0">
      <sharedItems containsSemiMixedTypes="0" containsString="0" containsNumber="1" containsInteger="1" minValue="0" maxValue="207370"/>
    </cacheField>
    <cacheField name="INCREMENTO (%)4" numFmtId="9">
      <sharedItems containsMixedTypes="1" containsNumber="1" minValue="0.24684610075914423" maxValue="4.416666666666667"/>
    </cacheField>
    <cacheField name="Sin proyecto5" numFmtId="0">
      <sharedItems containsSemiMixedTypes="0" containsString="0" containsNumber="1" containsInteger="1" minValue="0" maxValue="83083"/>
    </cacheField>
    <cacheField name="Con proyecto6" numFmtId="0">
      <sharedItems containsSemiMixedTypes="0" containsString="0" containsNumber="1" containsInteger="1" minValue="0" maxValue="116968"/>
    </cacheField>
    <cacheField name="Incremento (S/)7" numFmtId="0">
      <sharedItems containsSemiMixedTypes="0" containsString="0" containsNumber="1" containsInteger="1" minValue="0" maxValue="65000"/>
    </cacheField>
    <cacheField name="INCREMENTO (%)8" numFmtId="9">
      <sharedItems containsMixedTypes="1" containsNumber="1" minValue="8.6956521739130432E-2" maxValue="5.5454545454545459"/>
    </cacheField>
    <cacheField name="Sin proyecto9" numFmtId="0">
      <sharedItems containsSemiMixedTypes="0" containsString="0" containsNumber="1" containsInteger="1" minValue="0" maxValue="290791"/>
    </cacheField>
    <cacheField name="Con proyecto10" numFmtId="0">
      <sharedItems containsSemiMixedTypes="0" containsString="0" containsNumber="1" containsInteger="1" minValue="0" maxValue="478273"/>
    </cacheField>
    <cacheField name="Incremento (S/)11" numFmtId="0">
      <sharedItems containsSemiMixedTypes="0" containsString="0" containsNumber="1" containsInteger="1" minValue="0" maxValue="187482"/>
    </cacheField>
    <cacheField name="INCREMENTO (%)12" numFmtId="9">
      <sharedItems containsMixedTypes="1" containsNumber="1" minValue="0.16459627329192547" maxValue="6.0909090909090908"/>
    </cacheField>
    <cacheField name="Sin proyecto13" numFmtId="3">
      <sharedItems containsSemiMixedTypes="0" containsString="0" containsNumber="1" containsInteger="1" minValue="4850" maxValue="173650"/>
    </cacheField>
    <cacheField name="Con proyecto14" numFmtId="3">
      <sharedItems containsSemiMixedTypes="0" containsString="0" containsNumber="1" containsInteger="1" minValue="14130" maxValue="109421"/>
    </cacheField>
    <cacheField name="Incremento (S/)15" numFmtId="3">
      <sharedItems containsSemiMixedTypes="0" containsString="0" containsNumber="1" containsInteger="1" minValue="14130" maxValue="109421"/>
    </cacheField>
    <cacheField name="Incremento (%)16" numFmtId="9">
      <sharedItems containsSemiMixedTypes="0" containsString="0" containsNumber="1" minValue="0.28178438661710037" maxValue="3.39793814432989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s v="2008-1"/>
    <s v="112374"/>
    <s v="COMUNIDAD  CAMPESINA PUYHUALLA ALTA - ANDARAPA - ANDAHUAYLAS -  APURÍMAC"/>
    <s v="INSTALACIÓN  DEL SISTEMA  DE  RIEGO  POR ASPERSIÓN  EN LA COMUNIDAD  CAMPESINA PUYHUALLA ALTA - ANDARAPA - ANDAHUAYLAS -  APURÍMAC"/>
    <x v="0"/>
    <x v="0"/>
    <s v="ANDAHUAYLAS"/>
    <s v="ANDARAPA"/>
    <x v="0"/>
    <s v="LIQUIDADO"/>
    <n v="32003.200000000001"/>
    <n v="8000.8"/>
    <n v="0"/>
    <n v="40004"/>
  </r>
  <r>
    <s v="2008-1"/>
    <s v="112380"/>
    <s v="ANEXO PUEBLO LIBRE, COMUNIDAD CAMPESINA PUYHUALLA ALTA - ANDARAPA - ANDAHUAYLAS – APURÍMAC"/>
    <s v="INSTALACIÓN DEL SISTEMA DE RIEGO POR ASPERSIÓN EN EL ANEXO PUEBLO LIBRE, COMUNIDAD CAMPESINA PUYHUALLA ALTA - ANDARAPA - ANDAHUAYLAS – APURÍMAC"/>
    <x v="0"/>
    <x v="0"/>
    <s v="ANDAHUAYLAS"/>
    <s v="ANDARAPA"/>
    <x v="0"/>
    <s v="LIQUIDADO"/>
    <n v="32003.200000000001"/>
    <n v="8000.8"/>
    <n v="0"/>
    <n v="40004"/>
  </r>
  <r>
    <s v="2008-1"/>
    <s v="112441"/>
    <s v="ANEXO 2 DE MAYO, COMUNIDAD CAMPESINA DE HUANCAS - ANDARAPA - ANDAHUAYLAS - APURIMAC."/>
    <s v="FORTALECIMIENTO DE CAPACIDADES PRODUCTIVAS EN LA CRIANZA DE GALLINAS DE POSTURA CON LAS FAMILIAS DE ANEXO 2 DE MAYO, COMUNIDAD CAMPESINA DE HUANCAS - ANDARAPA - ANDAHUAYLAS - APURIMAC."/>
    <x v="1"/>
    <x v="0"/>
    <s v="ANDAHUAYLAS"/>
    <s v="ANDARAPA"/>
    <x v="0"/>
    <s v="LIQUIDADO"/>
    <n v="33432"/>
    <n v="8358"/>
    <n v="0"/>
    <n v="41790"/>
  </r>
  <r>
    <s v="2008-1"/>
    <s v="112449"/>
    <s v="COMUNIDAD CAMPESINA HUANCAS  -  ANDARAPA -  ANDAHUAYLAS -  APURÍMAC"/>
    <s v="FORTALECIMIENTO DE CAPACIDADES PRODUCTIVAS EN LA CRIANZA DE GALLINAS DE POSTURA CON FAMILIAS DE LA COMUNIDAD CAMPESINA HUANCAS  -  ANDARAPA -  ANDAHUAYLAS -  APURÍMAC"/>
    <x v="1"/>
    <x v="0"/>
    <s v="ANDAHUAYLAS"/>
    <s v="ANDARAPA"/>
    <x v="0"/>
    <s v="LIQUIDADO"/>
    <n v="33432"/>
    <n v="8358"/>
    <n v="0"/>
    <n v="41790"/>
  </r>
  <r>
    <s v="2009-1"/>
    <s v="128816"/>
    <s v=" ANEXO CENTRO UMACA DE LA COMUNIDAD CAMPESINA DE ANDARAPA- ANDAHUAYLAS- APURIMAC"/>
    <s v="FORTALECIMIENTO DE CAPACIDADES PARA EL MANEJO Y PRODUCCIÓN DE FRUTALES EN EL ANEXO CENTRO UMACA DE LA COMUNIDAD CAMPESINA DE ANDARAPA- ANDAHUAYLAS- APURIMAC"/>
    <x v="2"/>
    <x v="0"/>
    <s v="ANDAHUAYLAS"/>
    <s v="ANDARAPA"/>
    <x v="0"/>
    <s v="LIQUIDADO"/>
    <n v="33664"/>
    <n v="8416"/>
    <n v="0"/>
    <n v="42080"/>
  </r>
  <r>
    <s v="2009-1"/>
    <s v="128886"/>
    <s v="COMUNIDAD CAMPESINA DE CHANTA UMACA-ANDARAPA -ANDAHUAYLAS-APURIMAC"/>
    <s v="FORESTACIÓN CON PLANTAS NATIVAS Y MEJORA DE LA PRODUCCIÓN DE LA TARA DE LA COMUNIDAD CAMPESINA DE CHANTA UMACA-ANDARAPA -ANDAHUAYLAS-APURIMAC"/>
    <x v="3"/>
    <x v="0"/>
    <s v="ANDAHUAYLAS"/>
    <s v="ANDARAPA"/>
    <x v="0"/>
    <s v="LIQUIDADO"/>
    <n v="33664"/>
    <n v="8416"/>
    <n v="0"/>
    <n v="42080"/>
  </r>
  <r>
    <s v="2009-1"/>
    <s v="128922"/>
    <s v="COMUNIDAD DE HUALLHUAYOCC- ANDARAPA- ANDAHUAYLAS- APURIMAC."/>
    <s v="IMPLEMENTACIÓN DE MODULOS DE RIEGO TECNIFICADO POR ASPERSION E INSTALACION DE PASTOS MEJORADOS EN LA COMUNIDAD DE HUALLHUAYOCC- ANDARAPA- ANDAHUAYLAS- APURIMAC."/>
    <x v="0"/>
    <x v="0"/>
    <s v="ANDAHUAYLAS"/>
    <s v="ANDARAPA"/>
    <x v="0"/>
    <s v="LIQUIDADO"/>
    <n v="33600"/>
    <n v="8400"/>
    <n v="0"/>
    <n v="42000"/>
  </r>
  <r>
    <s v="2009-1"/>
    <s v="128926"/>
    <s v="COMUNIDAD CAMPESINA DE HUAMPICA-ANDARAPA- ANDAHUAYLAS-APURIMAC."/>
    <s v="IMPLEMENTACION DE MODULOS DE RIEGO TECNIFICADO PARA MEJORAR LA PRODUCCION Y LA COMERCIALIZACION DE PALTOS, MANGO Y TARA EN LA COMUNIDAD CAMPESINA DE HUAMPICA-ANDARAPA- ANDAHUAYLAS-APURIMAC."/>
    <x v="0"/>
    <x v="0"/>
    <s v="ANDAHUAYLAS"/>
    <s v="ANDARAPA"/>
    <x v="0"/>
    <s v="LIQUIDADO"/>
    <n v="33650"/>
    <n v="8413"/>
    <n v="0"/>
    <n v="42063"/>
  </r>
  <r>
    <s v="2009-1"/>
    <s v="128929"/>
    <s v="COMUNIDAD CAMPESINA DE PUYHUALLA CENTRO- ANDARAPA-ANDAHUAYLAS- APURIMAC."/>
    <s v="IMPLEMENTACION DE MODULOS DE RIEGO TECNIFICADO EN LA COMUNIDAD CAMPESINA DE PUYHUALLA CENTRO- ANDARAPA-ANDAHUAYLAS- APURIMAC."/>
    <x v="0"/>
    <x v="0"/>
    <s v="ANDAHUAYLAS"/>
    <s v="ANDARAPA"/>
    <x v="0"/>
    <s v="LIQUIDADO"/>
    <n v="33650"/>
    <n v="8412"/>
    <n v="0"/>
    <n v="42062"/>
  </r>
  <r>
    <s v="2009-1"/>
    <s v="130033"/>
    <s v="ANEXO VILLA REAL DE LA COMUNIDAD CAMPESINA DE CHANTA UMACA - ANDARAPA - ANDAHUAYLAS - ANDAHUAYLAS"/>
    <s v="FORTALECIMIENTO DE LAS CAPACIDADES EN EL MANEJO INTEGRAL DE LOS RECURSOS NATURALES Y LA MEJORA DE VIVIENDAS EN EL ANEXO VILLA REAL DE LA COMUNIDAD CAMPESINA DE CHANTA UMACA - ANDARAPA - ANDAHUAYLAS - ANDAHUAYLAS"/>
    <x v="0"/>
    <x v="0"/>
    <s v="ANDAHUAYLAS"/>
    <s v="ANDARAPA"/>
    <x v="0"/>
    <s v="LIQUIDADO"/>
    <n v="33650"/>
    <n v="8413"/>
    <n v="0"/>
    <n v="42063"/>
  </r>
  <r>
    <s v="2010-1"/>
    <s v="158944"/>
    <s v="ANEXO DE SAN MARTIN DE TOXAMA COMUNIDAD CAMPESINA DE ANDARAPA - ANDARAPA - ANDAHUAYLAS - APURÍMAC"/>
    <s v="FORTALECIMIENTO DE CAPACIDADES PARA MEJORAR LA PRODUCCIÓN DE PALTO CON 40 FAMILIAS EN EL ANEXO DE SAN MARTIN DE TOXAMA COMUNIDAD CAMPESINA DE ANDARAPA - ANDARAPA - ANDAHUAYLAS - APURÍMAC"/>
    <x v="4"/>
    <x v="0"/>
    <s v="ANDAHUAYLAS"/>
    <s v="ANDARAPA"/>
    <x v="0"/>
    <s v="LIQUIDADO"/>
    <n v="39518.400000000001"/>
    <n v="9879.6"/>
    <n v="0"/>
    <n v="49398"/>
  </r>
  <r>
    <s v="2010-1"/>
    <s v="159170"/>
    <s v="ANEXO DE LA MERCED DEL COMUNIDAD CAMPESINA DE CHANTA UMACA - ANDARAPA - ANDAHUAYLAS - APURÍMAC"/>
    <s v="FORTALECIMIENTO DE CAPACIDADES PRODUCTIVAS EN LA CRIANZA DE GALLINAS DE POSTURA CON 40 FAMILIAS EN EL ANEXO DE LA MERCED DEL COMUNIDAD CAMPESINA DE CHANTA UMACA - ANDARAPA - ANDAHUAYLAS - APURÍMAC"/>
    <x v="1"/>
    <x v="0"/>
    <s v="ANDAHUAYLAS"/>
    <s v="ANDARAPA"/>
    <x v="0"/>
    <s v="LIQUIDADO"/>
    <n v="39518.400000000001"/>
    <n v="9879.6"/>
    <n v="0"/>
    <n v="49398"/>
  </r>
  <r>
    <s v="2010-1"/>
    <s v="158987"/>
    <s v="ANEXO DE COTABAMBA DE LA COMUNIDAD CAMPESINA DE ANDARAPA - ANDARAPA ANDAHUAYLAS - APURÍMAC"/>
    <s v="IMPLEMENTACIÓN DE MÓDULOS DE RIEGO TECNIFICADO PARA LA PRODUCCIÓN DE PASTOS MEJORADOS EN EL ANEXO DE COTABAMBA DE LA COMUNIDAD CAMPESINA DE ANDARAPA - ANDARAPA ANDAHUAYLAS - APURÍMAC"/>
    <x v="0"/>
    <x v="0"/>
    <s v="ANDAHUAYLAS"/>
    <s v="ANDARAPA"/>
    <x v="0"/>
    <s v="LIQUIDADO"/>
    <n v="39518.400000000001"/>
    <n v="9879.6"/>
    <n v="0"/>
    <n v="49398"/>
  </r>
  <r>
    <s v="2010-1"/>
    <s v="158976"/>
    <s v="COMUNIDAD CAMPESINA DE ILLAHUASI - ANDARAPA - ANDAHUAYLAS - APURÍMAC"/>
    <s v="FORTALECIMIENTO DE LA PRODUCCIÓN DE CUYES Y CULTIVO DE PASTOS MEJORADOS EN LAS FAMILIAS DE LA COMUNIDAD CAMPESINA DE ILLAHUASI - ANDARAPA - ANDAHUAYLAS - APURÍMAC"/>
    <x v="5"/>
    <x v="0"/>
    <s v="ANDAHUAYLAS"/>
    <s v="ANDARAPA"/>
    <x v="0"/>
    <s v="LIQUIDADO"/>
    <n v="39518.400000000001"/>
    <n v="9879.6"/>
    <n v="0"/>
    <n v="49398"/>
  </r>
  <r>
    <s v="2010-2"/>
    <s v="166521"/>
    <s v="ANEXO DE PUEBLO LIBRE, COMUNIDAD CAMPESINA DE ILLAHUASI, DISTRITO DE ANDARAPA, PROVINCIA DE ANDAHUAYLAS, REGIÓN DE APURÍMAC"/>
    <s v="FORTALECIMIENTO DE CAPACIDADES PRODUCTIVAS EN LA CRIANZA DE GALLINAS DE POSTURA CON LAS FAMILIAS DEL ANEXO DE PUEBLO LIBRE, COMUNIDAD CAMPESINA DE ILLAHUASI, DISTRITO DE ANDARAPA, PROVINCIA DE ANDAHUAYLAS, REGIÓN DE APURÍMAC"/>
    <x v="1"/>
    <x v="0"/>
    <s v="ANDAHUAYLAS"/>
    <s v="ANDARAPA"/>
    <x v="0"/>
    <s v="LIQUIDADO"/>
    <n v="39518.400000000001"/>
    <n v="9879.6"/>
    <n v="0"/>
    <n v="49398"/>
  </r>
  <r>
    <s v="2010-2"/>
    <s v="166523"/>
    <s v="ANEXO DE CHUSPÍ CHAMANA DE LA COMUNIDAD CAMPESINA DE ANDARAPA DEL DISTRITO DE ANDARAPA, PROVINCIA DE ANDAHUAYLAS, REGION APURIMAC"/>
    <s v="FORTALECIMIENTO DE LA PRODUCCIÓN DE FRUTALES MEJORADAS CON PALTO FUERTE Y HASS EN LAS FAMILIAS DEL ANEXO DE CHUSPÍ CHAMANA DE LA COMUNIDAD CAMPESINA DE ANDARAPA DEL DISTRITO DE ANDARAPA, PROVINCIA DE ANDAHUAYLAS, REGION APURIMAC"/>
    <x v="6"/>
    <x v="0"/>
    <s v="ANDAHUAYLAS"/>
    <s v="ANDARAPA"/>
    <x v="0"/>
    <s v="LIQUIDADO"/>
    <n v="39518.400000000001"/>
    <n v="9879.6"/>
    <n v="0"/>
    <n v="49398"/>
  </r>
  <r>
    <s v="2010-2"/>
    <s v="166292"/>
    <s v="ANEXO SAN JUAN DE MIRAFLORES, DE LA COMUNIDAD CAMPESINA TOXAMA, DISTRITO ANDARAPA, PROVINCIA ANDAHUAYLAS, REGION APURIMAC"/>
    <s v="MEJORAMIENTO DE LA PRODUCCION DE PAPA ORGANICA EN EL ANEXO SAN JUAN DE MIRAFLORES, DE LA COMUNIDAD CAMPESINA TOXAMA, DISTRITO ANDARAPA, PROVINCIA ANDAHUAYLAS, REGION APURIMAC"/>
    <x v="7"/>
    <x v="0"/>
    <s v="ANDAHUAYLAS"/>
    <s v="ANDARAPA"/>
    <x v="0"/>
    <s v="LIQUIDADO"/>
    <n v="39518.400000000001"/>
    <n v="9879.6"/>
    <n v="0"/>
    <n v="49398"/>
  </r>
  <r>
    <s v="2010-2"/>
    <s v="166246"/>
    <s v="COMUNIDAD CAMPESINA DE ANDARAPA, DISTRITO DE ANDARAPA, PROVINCIA DE ANDAHUAYLAS, REGION APURIMAC"/>
    <s v="FORTALECIMIENTO DE CAPACIDADES PRODUCTIVAS EN LA CRIANZA DE GALLINAS DE POSTURA CON FAMILIAS DE LA COMUNIDAD CAMPESINA DE ANDARAPA, DISTRITO DE ANDARAPA, PROVINCIA DE ANDAHUAYLAS, REGION APURIMAC"/>
    <x v="1"/>
    <x v="0"/>
    <s v="ANDAHUAYLAS"/>
    <s v="ANDARAPA"/>
    <x v="0"/>
    <s v="LIQUIDADO"/>
    <n v="39518.400000000001"/>
    <n v="9879.6"/>
    <n v="0"/>
    <n v="49398"/>
  </r>
  <r>
    <s v="2010-2"/>
    <s v="166270"/>
    <s v="ANEXO SANTA ROSA, COMUNIDAD CAMPESINA ILLAHUASI, DISTRITO DE ANDARAPA, PROVINCIA DE ANDAHUAYLAS, REGION APURIMAC"/>
    <s v="FORTALECIMIENTO DE LA CAPACIDAD PRODUCTIVA EN LA CRIANZA DE CUYES Y PRODUCCION DE COMPOST, EN EL ANEXO SANTA ROSA, COMUNIDAD CAMPESINA ILLAHUASI, DISTRITO DE ANDARAPA, PROVINCIA DE ANDAHUAYLAS, REGION APURIMAC"/>
    <x v="5"/>
    <x v="0"/>
    <s v="ANDAHUAYLAS"/>
    <s v="ANDARAPA"/>
    <x v="0"/>
    <s v="LIQUIDADO"/>
    <n v="39518.400000000001"/>
    <n v="9879.6"/>
    <n v="0"/>
    <n v="49398"/>
  </r>
  <r>
    <s v="2010-2"/>
    <s v="166050"/>
    <s v="ANEXO CCOLLCCA DE LA COMUNIDAD CAMPESINA DE PUYHUALLA CENTRO, DISTRITO ANDARAPA, PROVINCIA ANDAHUAYLAS, REGIÓN APURÍMAC"/>
    <s v="MEJORAMIENTO DE LA CRIANZA DE CUYES EN LAS FAMILIAS DEL ANEXO CCOLLCCA DE LA COMUNIDAD CAMPESINA DE PUYHUALLA CENTRO, DISTRITO ANDARAPA, PROVINCIA ANDAHUAYLAS, REGIÓN APURÍMAC"/>
    <x v="5"/>
    <x v="0"/>
    <s v="ANDAHUAYLAS"/>
    <s v="ANDARAPA"/>
    <x v="0"/>
    <s v="LIQUIDADO"/>
    <n v="39518.400000000001"/>
    <n v="9879.6"/>
    <n v="0"/>
    <n v="49398"/>
  </r>
  <r>
    <s v="2010-2"/>
    <s v="166053"/>
    <s v="ANEXO TURPOSINA, COMUNIDAD CAMPESINA DE HUAYHUALLOCC, DISTRITO DE ANDARAPA, PROVINCIA ANDAHUAYLAS, REGION APURIMAC"/>
    <s v="MEJORAMIENTO DE LA CRIANZA DE GALLINAS Y VIVIENDAS SALUDABLES EN EL ANEXO TURPOSINA, COMUNIDAD CAMPESINA DE HUAYHUALLOCC, DISTRITO DE ANDARAPA, PROVINCIA ANDAHUAYLAS, REGION APURIMAC"/>
    <x v="1"/>
    <x v="0"/>
    <s v="ANDAHUAYLAS"/>
    <s v="ANDARAPA"/>
    <x v="0"/>
    <s v="LIQUIDADO"/>
    <n v="39518.400000000001"/>
    <n v="9879.6"/>
    <n v="0"/>
    <n v="49398"/>
  </r>
  <r>
    <s v="2010-2"/>
    <s v="166417"/>
    <s v="ANEXO OLORHUANCA DE LA COMUNIDAD CHANTA UMACA, DISTRITO DE ANDARAPA, PROVINCIA DE ANDAHUAYLAS, REGIÓN APURÍMAC"/>
    <s v="FORTALECIMIENTO DE CAPACIDADES PRODUCTIVAS EN LA CRIANZA DE GALLINAS DE POSTURA CON FAMILIAS EN EL ANEXO OLORHUANCA DE LA COMUNIDAD CHANTA UMACA, DISTRITO DE ANDARAPA, PROVINCIA DE ANDAHUAYLAS, REGIÓN APURÍMAC"/>
    <x v="1"/>
    <x v="0"/>
    <s v="ANDAHUAYLAS"/>
    <s v="ANDARAPA"/>
    <x v="0"/>
    <s v="LIQUIDADO"/>
    <n v="39518.400000000001"/>
    <n v="9879.6"/>
    <n v="0"/>
    <n v="49398"/>
  </r>
  <r>
    <s v="2010-2"/>
    <s v="166219"/>
    <s v="ANEXO DE SAN JUAN DE TRÉBOL, COMUNIDAD CANPESINA DE HUANCAS, DISTRITO DE ANDARAPA, PROVINCIA DE ANDAHUAYLAS, REGION APURIMAC"/>
    <s v="FORTALECIMIENTO DE CAPACIDADES PRODUCTIVAS EN LA CRIANZA DE GALLINAS DE POSTURA CON FAMILIAS DEL ANEXO DE SAN JUAN DE TRÉBOL, COMUNIDAD CANPESINA DE HUANCAS, DISTRITO DE ANDARAPA, PROVINCIA DE ANDAHUAYLAS, REGION APURIMAC"/>
    <x v="1"/>
    <x v="0"/>
    <s v="ANDAHUAYLAS"/>
    <s v="ANDARAPA"/>
    <x v="0"/>
    <s v="LIQUIDADO"/>
    <n v="39518.400000000001"/>
    <n v="9879.6"/>
    <n v="0"/>
    <n v="49398"/>
  </r>
  <r>
    <s v="2010-2"/>
    <s v="166283"/>
    <s v="ANEXO HUAYAUPAMPA, COMUNIDAD CAMPESINA ANDARAPA, PROVINCIA ANDAHUAYLAS, REGION APURIMAC"/>
    <s v="FORTALECIMIENTO DE CAPACIDADES PRODUCTIVAS EN LA CRIANZA DE GALLINAS Y PRODUCCION DE COMPOST EN EL ANEXO HUAYAUPAMPA, COMUNIDAD CAMPESINA ANDARAPA, PROVINCIA ANDAHUAYLAS, REGION APURIMAC"/>
    <x v="1"/>
    <x v="0"/>
    <s v="ANDAHUAYLAS"/>
    <s v="ANDARAPA"/>
    <x v="0"/>
    <s v="LIQUIDADO"/>
    <n v="39518.400000000001"/>
    <n v="9879.6"/>
    <n v="0"/>
    <n v="49398"/>
  </r>
  <r>
    <s v="2011-1"/>
    <s v="194504"/>
    <s v="COMUNIDAD CAMPESINA DE TOXAMA, DISTRITO ANDARAPA, PROVINCIA ANDAHUAYLAS, REGION APURIMAC"/>
    <s v="MEJORAMIENTO DE LA PRODUCCION FRUTICOLA CON 40 FAMILIAS DE LA COMUNIDAD CAMPESINA DE TOXAMA, DISTRITO ANDARAPA, PROVINCIA ANDAHUAYLAS, REGION APURIMAC"/>
    <x v="2"/>
    <x v="0"/>
    <s v="ANDAHUAYLAS"/>
    <s v="ANDARAPA"/>
    <x v="0"/>
    <s v="LIQUIDADO"/>
    <n v="39518.400000000001"/>
    <n v="9879.6"/>
    <n v="0"/>
    <n v="49398"/>
  </r>
  <r>
    <s v="2008-1"/>
    <s v="111752"/>
    <s v="EN EL DISTRITO ANDARAPA, PROVINCIA ANDAHUAYLAS, REGIÓN APURIMAC"/>
    <s v="FORTALECIMIENTO E IMPLEMENTACIÓN DE PLANTA PASTEURIZADORA DE LECHE EN EL DISTRITO ANDARAPA, PROVINCIA ANDAHUAYLAS, REGIÓN APURIMAC"/>
    <x v="8"/>
    <x v="0"/>
    <s v="ANDAHUAYLAS"/>
    <s v="ANDARAPA"/>
    <x v="1"/>
    <s v="LIQUIDADO"/>
    <n v="57736.7"/>
    <n v="24744.3"/>
    <n v="0"/>
    <n v="82481"/>
  </r>
  <r>
    <s v="2008-1"/>
    <s v="111775"/>
    <s v="EN EL DISTRITO ANDARAPA, PROVINCIA ANDAHUAYLAS, REGIÓN APURIMAC"/>
    <s v="PROCESAMIENTO Y COMERCIALIZACIÓN DE MANZANILLA NATURAL EXPORTABLE EN EL DISTRITO ANDARAPA, PROVINCIA ANDAHUAYLAS, REGIÓN APURIMAC"/>
    <x v="9"/>
    <x v="0"/>
    <s v="ANDAHUAYLAS"/>
    <s v="ANDARAPA"/>
    <x v="1"/>
    <s v="LIQUIDADO"/>
    <n v="39284.699999999997"/>
    <n v="16836.3"/>
    <n v="0"/>
    <n v="56121"/>
  </r>
  <r>
    <s v="2009-1"/>
    <s v="128607"/>
    <s v="ASOCIACIÓN DE PRODUCTORES AGROPECUARIOS DEL VALLE DE COCAS DE HUAMPICA DEL DISTRITO DE ANDARAPA, PROVINCIA DE ANDAHUAYLAS., REGION APURIMAC"/>
    <s v="MEJORAMIENTO EN LA COMERCIALIZACION DE GRANOS ANDINOS PROCESADOS EN LA ASOCIACIÓN DE PRODUCTORES AGROPECUARIOS DEL VALLE DE COCAS DE HUAMPICA DEL DISTRITO DE ANDARAPA, PROVINCIA DE ANDAHUAYLAS., REGION APURIMAC"/>
    <x v="10"/>
    <x v="0"/>
    <s v="ANDAHUAYLAS"/>
    <s v="ANDARAPA"/>
    <x v="1"/>
    <s v="LIQUIDADO"/>
    <n v="39795"/>
    <n v="17055"/>
    <n v="0"/>
    <n v="56850"/>
  </r>
  <r>
    <s v="2010-1"/>
    <s v="159139"/>
    <s v="COMUNIDAD CAMPESINA DE UMACA DISTRITO DE OCOBAMBA, PROVINCIA ANDAHUAYLAS, REGIÓN APURÍMAC"/>
    <s v="MEJORAMIENTO DE LA PRODUCCIÓN DE PALTA Y LÚCUMA EN LA COMUNIDAD CAMPESINA DE UMACA DISTRITO DE OCOBAMBA, PROVINCIA ANDAHUAYLAS, REGIÓN APURÍMAC"/>
    <x v="6"/>
    <x v="0"/>
    <s v="ANDAHUAYLAS"/>
    <s v="PACOBAMBA"/>
    <x v="0"/>
    <s v="LIQUIDADO"/>
    <n v="39518.400000000001"/>
    <n v="9879.6"/>
    <n v="0"/>
    <n v="49398"/>
  </r>
  <r>
    <s v="2009-1"/>
    <s v="128710"/>
    <s v="ASOCIACION DE AGRICULTORES CUENCA PAMPAS - ACUPAS DE LA COMUNIDAD DE RIO BLANCO DEL DISTRITO DE HUACCANA, PROVINCIA DE CHINCHEROS, REGION APURIMAC."/>
    <s v="FORTALECIMIENTO DE LA COMERCIALIZACION E IMPLEMENTACION DEL CENTRO DE ACOPIO DE PALTA DE LA ASOCIACION DE AGRICULTORES CUENCA PAMPAS - ACUPAS DE LA COMUNIDAD DE RIO BLANCO DEL DISTRITO DE HUACCANA, PROVINCIA DE CHINCHEROS, REGION APURIMAC."/>
    <x v="4"/>
    <x v="0"/>
    <s v="CHINCHEROS"/>
    <s v="HUACCANA"/>
    <x v="1"/>
    <s v="LIQUIDADO"/>
    <n v="31738"/>
    <n v="13602"/>
    <n v="0"/>
    <n v="45340"/>
  </r>
  <r>
    <s v="2009-1"/>
    <s v="128744"/>
    <s v="ASOCIACIÓN DE PRODUCTORES DE CUY LOS AYLLUS DE HUACCANA, DE LA PROVINCIA DE CHINCHEROS, REGION APURIMAC."/>
    <s v="MEJORAMIENTO DE LA COMERCIALIZACION DE LA CARNE DE CUY DE LA ASOCIACIÓN DE PRODUCTORES DE CUY LOS AYLLUS DE HUACCANA, DE LA PROVINCIA DE CHINCHEROS, REGION APURIMAC."/>
    <x v="5"/>
    <x v="0"/>
    <s v="CHINCHEROS"/>
    <s v="HUACCANA"/>
    <x v="1"/>
    <s v="LIQUIDADO"/>
    <n v="19670"/>
    <n v="8430"/>
    <n v="0"/>
    <n v="28100"/>
  </r>
  <r>
    <s v="2010-1"/>
    <s v="161605"/>
    <s v="ASOCIACION DE PRODUCTORES DE CUY AGRO NEGOCIOS, DISTRITO DE HUACCANA, PROVINCIA DE CHINCHEROS, REGIÓN APURIMAC"/>
    <s v="MEJORAMIENTO DE LA PRODUCCIÓN Y COMERCIALIZACIÓN DEL CUY DE LA ASOCIACION DE PRODUCTORES DE CUY AGRO NEGOCIOS, DISTRITO DE HUACCANA, PROVINCIA DE CHINCHEROS, REGIÓN APURIMAC"/>
    <x v="5"/>
    <x v="0"/>
    <s v="CHINCHEROS"/>
    <s v="HUACCANA"/>
    <x v="1"/>
    <s v="LIQUIDADO"/>
    <n v="23100"/>
    <n v="9900"/>
    <n v="0"/>
    <n v="33000"/>
  </r>
  <r>
    <s v="2010-1"/>
    <s v="160436"/>
    <s v="ASOCIACIÓN DE DE PRODUCTORES AGROPECUARIOS ESCALON - APROAES - COMUNIDAD DE RÍO BLANCO DISTRITO DE HUACCANA PROVINCIA DE CHINCHEROS REGIÓN APURÍMAC"/>
    <s v="MEJORAMIENTO DE LA PRODUCCION Y COMERCIALIZACIÓN DE LA PALTA DE LA ASOCIACIÓN DE DE PRODUCTORES AGROPECUARIOS ESCALON - APROAES - COMUNIDAD DE RÍO BLANCO DISTRITO DE HUACCANA PROVINCIA DE CHINCHEROS REGIÓN APURÍMAC"/>
    <x v="4"/>
    <x v="0"/>
    <s v="CHINCHEROS"/>
    <s v="HUACCANA"/>
    <x v="1"/>
    <s v="LIQUIDADO"/>
    <n v="41072.5"/>
    <n v="17602.5"/>
    <n v="0"/>
    <n v="58675"/>
  </r>
  <r>
    <s v="2009-1"/>
    <s v="128839"/>
    <s v="COMUNIDAD CAMPESINA DE SOCCHA-OCOBAMBA- CHINCHEROS-APURIMAC"/>
    <s v="FORTALECIMIENTO DE LAS CAPACIDADES PRODUCTIVAS PARA LA CRIANZA DE TRUCHAS DE LAS FAMILIAS DE LA COMUNIDAD CAMPESINA DE SOCCHA-OCOBAMBA- CHINCHEROS-APURIMAC"/>
    <x v="11"/>
    <x v="0"/>
    <s v="CHINCHEROS"/>
    <s v="OCOBAMBA"/>
    <x v="0"/>
    <s v="LIQUIDADO"/>
    <n v="33650"/>
    <n v="8413"/>
    <n v="0"/>
    <n v="42063"/>
  </r>
  <r>
    <s v="2009-1"/>
    <s v="128952"/>
    <s v="COMUNIDAD CAMPESINA DE CARHUAYACO ALTO -OCOBAMBA-CHINCHEROS- APURÍMAC"/>
    <s v="MEJORAMIENTO DE LA CRIANZA DE CUYES EN LA COMUNIDAD CAMPESINA DE CARHUAYACO ALTO -OCOBAMBA-CHINCHEROS- APURÍMAC"/>
    <x v="5"/>
    <x v="0"/>
    <s v="CHINCHEROS"/>
    <s v="OCOBAMBA"/>
    <x v="0"/>
    <s v="LIQUIDADO"/>
    <n v="33650"/>
    <n v="8413"/>
    <n v="0"/>
    <n v="42063"/>
  </r>
  <r>
    <s v="2009-1"/>
    <s v="128958"/>
    <s v="COMUNIDAD CAMPESINA DE PISCOBAMBA BAJA -OCOBAMBA-CHINCHEROS- APURÍMAC"/>
    <s v="MEJORAMIENTO DE LA CRIANZA DE GANADO LECHERO EN COMUNIDAD CAMPESINA DE PISCOBAMBA BAJA -OCOBAMBA-CHINCHEROS- APURÍMAC"/>
    <x v="12"/>
    <x v="0"/>
    <s v="CHINCHEROS"/>
    <s v="OCOBAMBA"/>
    <x v="0"/>
    <s v="LIQUIDADO"/>
    <n v="33650"/>
    <n v="8413"/>
    <n v="0"/>
    <n v="42063"/>
  </r>
  <r>
    <s v="2010-1"/>
    <s v="159148"/>
    <s v="COMUNIDAD CAMPESINA DE SOCCOS EDÉN DEL DISTRITO DE OCOBAMBA, PROVINCIA DE CHINCHEROS. REGIÓN APURÍMAC"/>
    <s v="MEJORAMIENTO DE LA CRIANZA Y PRODUCCIÓN DE TRUCHAS CON FAMILIAS EN LA COMUNIDAD CAMPESINA DE SOCCOS EDÉN DEL DISTRITO DE OCOBAMBA, PROVINCIA DE CHINCHEROS. REGIÓN APURÍMAC"/>
    <x v="11"/>
    <x v="0"/>
    <s v="CHINCHEROS"/>
    <s v="OCOBAMBA"/>
    <x v="0"/>
    <s v="LIQUIDADO"/>
    <n v="39518.400000000001"/>
    <n v="9879.6"/>
    <n v="0"/>
    <n v="49398"/>
  </r>
  <r>
    <s v="2010-1"/>
    <s v="159120"/>
    <s v="ANEXO DE MAYHUAPATA DE LA COMUNIDAD CAMPESINA DE PISCOBAMBA, DISTRITO DE OCOBAMBA, PROVINCIA CHINCHEROS, REGIÓN APURÍMAC"/>
    <s v="IMPLEMENTACIÓN DE MÓDULOS DE RIEGO TECNIFICADO CON FAMILIAS DEL ANEXO DE MAYHUAPATA DE LA COMUNIDAD CAMPESINA DE PISCOBAMBA, DISTRITO DE OCOBAMBA, PROVINCIA CHINCHEROS, REGIÓN APURÍMAC"/>
    <x v="0"/>
    <x v="0"/>
    <s v="CHINCHEROS"/>
    <s v="OCOBAMBA"/>
    <x v="0"/>
    <s v="LIQUIDADO"/>
    <n v="39518.400000000001"/>
    <n v="9879.6"/>
    <n v="0"/>
    <n v="49398"/>
  </r>
  <r>
    <s v="2010-1"/>
    <s v="159158"/>
    <s v="ANEXO DE LOS ANGELES DE PISCOBAMBA, DISTRITO DE OCOBAMBA, PROVINCIA DE CHINCHEROS, REGIÓN APURÍMAC"/>
    <s v="MEJORAMIENTO DE LA CRIANZA DE OVINOS EN EL ANEXO DE LOS ANGELES DE PISCOBAMBA, DISTRITO DE OCOBAMBA, PROVINCIA DE CHINCHEROS, REGIÓN APURÍMAC"/>
    <x v="13"/>
    <x v="0"/>
    <s v="CHINCHEROS"/>
    <s v="OCOBAMBA"/>
    <x v="0"/>
    <s v="LIQUIDADO"/>
    <n v="39518.400000000001"/>
    <n v="9879.6"/>
    <n v="0"/>
    <n v="49398"/>
  </r>
  <r>
    <s v="2010-1"/>
    <s v="159143"/>
    <s v="ANEXO ANANSAYOCC, COMUNIDAD CAMPESINA OCOBAMBA, DISTRITO OCOBAMBA, PROVINCIA CHINCHEROS, REGIÓN APURÍMAC"/>
    <s v="FORTALECIMIENTO DE LA PRODUCCIÓN DE MAÍZ AMILÁCEO EN LAS FAMILIAS DEL ANEXO ANANSAYOCC, COMUNIDAD CAMPESINA OCOBAMBA, DISTRITO OCOBAMBA, PROVINCIA CHINCHEROS, REGIÓN APURÍMAC"/>
    <x v="14"/>
    <x v="0"/>
    <s v="CHINCHEROS"/>
    <s v="OCOBAMBA"/>
    <x v="0"/>
    <s v="LIQUIDADO"/>
    <n v="39518.400000000001"/>
    <n v="9879.6"/>
    <n v="0"/>
    <n v="49398"/>
  </r>
  <r>
    <s v="2010-1"/>
    <s v="158940"/>
    <s v="ANEXO PRIMERO DE MAYO, COMUNIDAD CAMPESINA OCOBAMBA, DISTRITO DE OCOBAMBA, PROVINCIA DE CHINCHEROS, REGIÓN APURÍMAC"/>
    <s v="FORTALECIMIENTO DE CAPACIDADES PRODUCTIVAS EN LA CRIANZA DE GANADO VACUNO DE LAS FAMILIAS DEL ANEXO PRIMERO DE MAYO, COMUNIDAD CAMPESINA OCOBAMBA, DISTRITO DE OCOBAMBA, PROVINCIA DE CHINCHEROS, REGIÓN APURÍMAC"/>
    <x v="12"/>
    <x v="0"/>
    <s v="CHINCHEROS"/>
    <s v="OCOBAMBA"/>
    <x v="0"/>
    <s v="LIQUIDADO"/>
    <n v="39518.400000000001"/>
    <n v="9879.6"/>
    <n v="0"/>
    <n v="49398"/>
  </r>
  <r>
    <s v="2010-2"/>
    <s v="166823"/>
    <s v="COMUNIDAD CAMPESINA LA ESMERALDA, DISTRITO OCOBAMBA, PROVINCIA CHINCHEROS, REGIÓN APURÍMAC"/>
    <s v="MEJORAMIENTO DE LA PRODUCCIÓN DE CAÑA DE AZÚCAR EN PERSPECTIVA DE MERCADO EN LA COMUNIDAD CAMPESINA LA ESMERALDA, DISTRITO OCOBAMBA, PROVINCIA CHINCHEROS, REGIÓN APURÍMAC"/>
    <x v="15"/>
    <x v="0"/>
    <s v="CHINCHEROS"/>
    <s v="OCOBAMBA"/>
    <x v="0"/>
    <s v="LIQUIDADO"/>
    <n v="39518.400000000001"/>
    <n v="9879.6"/>
    <n v="0"/>
    <n v="49398"/>
  </r>
  <r>
    <s v="2010-2"/>
    <s v="166825"/>
    <s v="ANEXO TÚPAC AMARU, DE LA COMUNIDAD CAMPESINA DE OCOBAMBA, DISTRITO OCOBAMBA, PROVINCIA CHINCHEROS, REGIÓN APURÍMAC"/>
    <s v="MEJORAMIENTO DEL CULTIVO DE MANZANOS EN EL ANEXO TÚPAC AMARU, DE LA COMUNIDAD CAMPESINA DE OCOBAMBA, DISTRITO OCOBAMBA, PROVINCIA CHINCHEROS, REGIÓN APURÍMAC"/>
    <x v="16"/>
    <x v="0"/>
    <s v="CHINCHEROS"/>
    <s v="OCOBAMBA"/>
    <x v="0"/>
    <s v="LIQUIDADO"/>
    <n v="39518.400000000001"/>
    <n v="9879.6"/>
    <n v="0"/>
    <n v="49398"/>
  </r>
  <r>
    <s v="2010-2"/>
    <s v="166818"/>
    <s v="ANEXO ANANSAYOCC BAJO, COMUNIDAD CAMPESINA DE OCOBAMBA, DISTRITO OCOBAMBA, PROVINCIA CHINCHEROS, REGIÓN APURIMAC"/>
    <s v="MEJORAMIENTO DE LA CRIANZA DE GANADO VACUNO LECHERO EN EL ANEXO ANANSAYOCC BAJO, COMUNIDAD CAMPESINA DE OCOBAMBA, DISTRITO OCOBAMBA, PROVINCIA CHINCHEROS, REGIÓN APURIMAC"/>
    <x v="12"/>
    <x v="0"/>
    <s v="CHINCHEROS"/>
    <s v="OCOBAMBA"/>
    <x v="0"/>
    <s v="LIQUIDADO"/>
    <n v="39518.400000000001"/>
    <n v="9879.6"/>
    <n v="0"/>
    <n v="49398"/>
  </r>
  <r>
    <s v="2010-2"/>
    <s v="166302"/>
    <s v="ANEXO CHALLHUANI DE LA COMUNIDAD CAMPESINA DE OCOBAMBA, DISTRITO DE OCOBAMBA, PROVINCIA DE CHINCHEROS, REGIÓN APURÍMAC."/>
    <s v="INCREMENTO DE LA PRODUCCIÓN Y COMERCIALIZACIÓN DEL CIRUELO, EN EL ANEXO CHALLHUANI DE LA COMUNIDAD CAMPESINA DE OCOBAMBA, DISTRITO DE OCOBAMBA, PROVINCIA DE CHINCHEROS, REGIÓN APURÍMAC."/>
    <x v="17"/>
    <x v="0"/>
    <s v="CHINCHEROS"/>
    <s v="OCOBAMBA"/>
    <x v="0"/>
    <s v="LIQUIDADO"/>
    <n v="39518.400000000001"/>
    <n v="9879.6"/>
    <n v="0"/>
    <n v="49398"/>
  </r>
  <r>
    <s v="2010-2"/>
    <s v="166299"/>
    <s v="COMUNIDAD CAMPESINA DE PISCOBAMBA DEL DISTRITO OCOBAMBA, PROVINCIA DE CHINCHEROS, REGIÓN APURÍMAC"/>
    <s v="MEJORAMIENTO DE LA CRIANZA DE CUYES EN EL ANEXO DE NUEVA JERUSALÉN DE LA COMUNIDAD CAMPESINA DE PISCOBAMBA DEL DISTRITO OCOBAMBA, PROVINCIA DE CHINCHEROS, REGIÓN APURÍMAC"/>
    <x v="5"/>
    <x v="0"/>
    <s v="CHINCHEROS"/>
    <s v="OCOBAMBA"/>
    <x v="0"/>
    <s v="LIQUIDADO"/>
    <n v="39518.400000000001"/>
    <n v="9879.6"/>
    <n v="0"/>
    <n v="49398"/>
  </r>
  <r>
    <s v="2010-2"/>
    <s v="166880"/>
    <s v="COMUNIDAD DE PISCOBAMBA, DISTRITO OCOBAMBA PROVINCIA CHINCHEROS REGION APURIMAC"/>
    <s v="MEJORAMIENTO DE LA CRIANZA DE GANADO VACUNO LECHERO EN EL ANEXO ATACCARA DE LA COMUNIDAD DE PISCOBAMBA, DISTRITO OCOBAMBA PROVINCIA CHINCHEROS REGION APURIMAC"/>
    <x v="12"/>
    <x v="0"/>
    <s v="CHINCHEROS"/>
    <s v="OCOBAMBA"/>
    <x v="0"/>
    <s v="LIQUIDADO"/>
    <n v="39518.400000000001"/>
    <n v="9879.6"/>
    <n v="0"/>
    <n v="49398"/>
  </r>
  <r>
    <s v="2010-2"/>
    <s v="166306"/>
    <s v="ANEXO CCARATQUI DE LA COMUNIDAD CAMPESINA DE MITOBAMBA, DISTRITO DE OCOBAMBA, PROVINCIA DE CHINCHEROS, DEPARTAMENTO DE APURIMAC"/>
    <s v="MEJORAMIENTO DE LA CRIANZA DE GANADO VACUNO LECHERO EN EL ANEXO CCARATQUI DE LA COMUNIDAD CAMPESINA DE MITOBAMBA, DISTRITO DE OCOBAMBA, PROVINCIA DE CHINCHEROS, DEPARTAMENTO DE APURIMAC"/>
    <x v="12"/>
    <x v="0"/>
    <s v="CHINCHEROS"/>
    <s v="OCOBAMBA"/>
    <x v="0"/>
    <s v="LIQUIDADO"/>
    <n v="39518.400000000001"/>
    <n v="9879.6"/>
    <n v="0"/>
    <n v="49398"/>
  </r>
  <r>
    <s v="2010-2"/>
    <s v="166881"/>
    <s v="ANEXO MAUCALLACCTA, COMUNIDAD CAMPESINA DE PISCOBAMBA, DISTRITO OCOBAMBA, PROVINCIA CHINCHEROS, REGION APURIMAC"/>
    <s v="MEJORAMIENTO DE CAPACIDADES EN LA CRIANZA DE CERDOS CON LAS FAMILIAS DEL ANEXO MAUCALLACCTA, COMUNIDAD CAMPESINA DE PISCOBAMBA, DISTRITO OCOBAMBA, PROVINCIA CHINCHEROS, REGION APURIMAC"/>
    <x v="18"/>
    <x v="0"/>
    <s v="CHINCHEROS"/>
    <s v="OCOBAMBA"/>
    <x v="0"/>
    <s v="LIQUIDADO"/>
    <n v="39518.400000000001"/>
    <n v="9879.6"/>
    <n v="0"/>
    <n v="49398"/>
  </r>
  <r>
    <s v="2010-2"/>
    <s v="166682"/>
    <s v="ANEXO LA FLORIDA, COMUNIDAD CAMPESINA DE OCOBAMBA, DISTRITO OCOBAMBA, PROVINCIA CHINCHEROS, REGIÓN APURÍMAC"/>
    <s v="MEJORAMIENTO DEL USO DEL AGUA A TRAVÉS DE MÓDULOS DE RIEGO TECNIFICADO EN EL ANEXO LA FLORIDA, COMUNIDAD CAMPESINA DE OCOBAMBA, DISTRITO OCOBAMBA, PROVINCIA CHINCHEROS, REGIÓN APURÍMAC"/>
    <x v="0"/>
    <x v="0"/>
    <s v="CHINCHEROS"/>
    <s v="OCOBAMBA"/>
    <x v="0"/>
    <s v="LIQUIDADO"/>
    <n v="39518.400000000001"/>
    <n v="9879.6"/>
    <n v="0"/>
    <n v="49398"/>
  </r>
  <r>
    <s v="2011-1"/>
    <s v="194509"/>
    <s v="COMUNIDAD CAMPESINA DE OCOBAMBA, DISTRITO OCOBAMBA, PROVINCIA CHINCHEROS, REGION APURIMAC"/>
    <s v="MEJORAMIENTO EN LA CRIANZA DE GALLINAS CON 40 FAMILIAS DE LA COMUNIDAD CAMPESINA DE OCOBAMBA, DISTRITO OCOBAMBA, PROVINCIA CHINCHEROS, REGION APURIMAC"/>
    <x v="1"/>
    <x v="0"/>
    <s v="CHINCHEROS"/>
    <s v="OCOBAMBA"/>
    <x v="0"/>
    <s v="LIQUIDADO"/>
    <n v="39518.400000000001"/>
    <n v="9879.6"/>
    <n v="0"/>
    <n v="49398"/>
  </r>
  <r>
    <s v="2011-1"/>
    <s v="194804"/>
    <s v="ANEXO DE TRES CRUCES, COMUNIDAD CAMPESINA DE OCOBAMBA, DISTRITO OCOBAMBA, PROVINCIA CHINCHEROS, REGION APURIMAC"/>
    <s v="MEJORAMIENTO DE LA CRIANZA DE OVINOS CON 40 FAMILIAS DEL ANEXO DE TRES CRUCES, COMUNIDAD CAMPESINA DE OCOBAMBA, DISTRITO OCOBAMBA, PROVINCIA CHINCHEROS, REGION APURIMAC"/>
    <x v="13"/>
    <x v="0"/>
    <s v="CHINCHEROS"/>
    <s v="OCOBAMBA"/>
    <x v="0"/>
    <s v="LIQUIDADO"/>
    <n v="39518.400000000001"/>
    <n v="9879.6"/>
    <n v="0"/>
    <n v="49398"/>
  </r>
  <r>
    <s v="2011-1"/>
    <s v="194986"/>
    <s v="ANEXO SANTA ROSA ALTA DE LA COMUNIDAD CAMPESINA OCOBAMBA, DISTRITO OCOBAMBA, PROVINCIA CHINCHEROS, REGION APURIMAC"/>
    <s v="INSTALACION DE MODULOS DE RECURSOS HIDRICO PARA 40 FAMILIAS DEL ANEXO SANTA ROSA ALTA DE LA COMUNIDAD CAMPESINA OCOBAMBA, DISTRITO OCOBAMBA, PROVINCIA CHINCHEROS, REGION APURIMAC"/>
    <x v="0"/>
    <x v="0"/>
    <s v="CHINCHEROS"/>
    <s v="OCOBAMBA"/>
    <x v="0"/>
    <s v="LIQUIDADO"/>
    <n v="39518.400000000001"/>
    <n v="9879.6"/>
    <n v="0"/>
    <n v="49398"/>
  </r>
  <r>
    <s v="2008-1"/>
    <s v="111731"/>
    <s v="ASOCIACION DE CRIADORES DE ANIMALES MENORES LA FORTALEZA DE OCOBAMBA"/>
    <s v="INCREMENTO DE LA PRODUCCIÓN Y COMERCIALIZACIÓN DE CUYES DE LA ASOCIACION DE CRIADORES DE ANIMALES MENORES LA FORTALEZA DE OCOBAMBA"/>
    <x v="5"/>
    <x v="0"/>
    <s v="CHINCHEROS"/>
    <s v="OCOBAMBA"/>
    <x v="1"/>
    <s v="LIQUIDADO"/>
    <n v="19670"/>
    <n v="8430"/>
    <n v="0"/>
    <n v="28100"/>
  </r>
  <r>
    <s v="2009-1"/>
    <s v="128644"/>
    <s v="ASOCIACIÓN DE PRODUCTORES AGROPECUARIOS CARHUAYACU CENTRAL - APROACACE DEL DISTRITO DE OCOBAMBA, PROVINCIA DE CHINCHEROS, REGION APURIMAC."/>
    <s v="MEJORAMIENTO DE LA COMERCIALIZACION DE MENESTRAS CON VALOR AGREGADO DE LA ASOCIACIÓN DE PRODUCTORES AGROPECUARIOS CARHUAYACU CENTRAL - APROACACE DEL DISTRITO DE OCOBAMBA, PROVINCIA DE CHINCHEROS, REGION APURIMAC."/>
    <x v="19"/>
    <x v="0"/>
    <s v="CHINCHEROS"/>
    <s v="OCOBAMBA"/>
    <x v="1"/>
    <s v="LIQUIDADO"/>
    <n v="19670"/>
    <n v="8430"/>
    <n v="0"/>
    <n v="28100"/>
  </r>
  <r>
    <s v="2010-2"/>
    <s v="167184"/>
    <s v="ASOCIACION DE PRODUCTORES DE GANADO LECHERO ASGAL, HUANCALLO ALTO - OCOBAMBA - CHINCHEROS - APURIMAC."/>
    <s v="MEJORAMIENTO DE LA PRODUCCIÓN Y COMERCIALIZACIÓN DE YOGURT DE LA ASOCIACION DE PRODUCTORES DE GANADO LECHERO ASGAL, HUANCALLO ALTO - OCOBAMBA - CHINCHEROS - APURIMAC."/>
    <x v="20"/>
    <x v="0"/>
    <s v="CHINCHEROS"/>
    <s v="OCOBAMBA"/>
    <x v="1"/>
    <s v="LIQUIDADO"/>
    <n v="29635.200000000001"/>
    <n v="12700.8"/>
    <n v="0"/>
    <n v="42336"/>
  </r>
  <r>
    <s v="2010-2"/>
    <s v="167170"/>
    <s v="ASOCIACION VIRGEN DE CANDELARIA OCOBAMBA - CHINCHEROS - APURIMAC"/>
    <s v="MEJORAMIENTO DE LA PRODUCCIÓN, TRANSFORMACION Y COMERCIALIZACIÓN DE LACTEOS DE LA ASOCIACION VIRGEN DE CANDELARIA OCOBAMBA - CHINCHEROS - APURIMAC"/>
    <x v="20"/>
    <x v="0"/>
    <s v="CHINCHEROS"/>
    <s v="OCOBAMBA"/>
    <x v="1"/>
    <s v="LIQUIDADO"/>
    <n v="28863.8"/>
    <n v="12370.2"/>
    <n v="0"/>
    <n v="41234"/>
  </r>
  <r>
    <s v="2011-1"/>
    <s v="198802"/>
    <s v="ASOCIACIÓN DE CRIADORES DE ANIMALES MENORES DE VIRGEN DEL CARMEN DE CARHUAYACO BAJO DISTRITO OCOBAMBA, PROVINCIA CHINCHEROS, REGIÓN APURÍMAC"/>
    <s v="MEJORAMIENTO DEL PROCESO DE ENGORDE Y COMERCIALIZACIÓN DE CERDOS CRIOLLOS CON LA ASOCIACIÓN DE CRIADORES DE ANIMALES MENORES DE VIRGEN DEL CARMEN DE CARHUAYACO BAJO DISTRITO OCOBAMBA, PROVINCIA CHINCHEROS, REGIÓN APURÍMAC"/>
    <x v="18"/>
    <x v="0"/>
    <s v="CHINCHEROS"/>
    <s v="OCOBAMBA"/>
    <x v="1"/>
    <s v="LIQUIDADO"/>
    <n v="23100"/>
    <n v="9900"/>
    <n v="0"/>
    <n v="33000"/>
  </r>
  <r>
    <s v="2008-1"/>
    <s v="112372"/>
    <s v="COMUNIDAD CAMPESINA SANTA ROSA - ONGOY - CHINCHEROS – APURÍMAC"/>
    <s v="INSTALACIÓN DEL RIEGO TECNIFICADO POR ASPERSIÓN EN LA COMUNIDAD CAMPESINA SANTA ROSA - ONGOY - CHINCHEROS – APURÍMAC"/>
    <x v="0"/>
    <x v="0"/>
    <s v="CHINCHEROS"/>
    <s v="ONGOY"/>
    <x v="0"/>
    <s v="LIQUIDADO"/>
    <n v="33664"/>
    <n v="8416"/>
    <n v="0"/>
    <n v="42080"/>
  </r>
  <r>
    <s v="2008-1"/>
    <s v="112444"/>
    <s v="COMUNIDAD CAMPESINA MOZOBAMBA - ONGOY - CHINCEROS – APURÍMAC"/>
    <s v="FORTALECIMIENTO DE LA ACTIVIDAD FORESTAL CON  FAMILIAS DE LA COMUNIDAD CAMPESINA MOZOBAMBA - ONGOY - CHINCEROS – APURÍMAC"/>
    <x v="0"/>
    <x v="0"/>
    <s v="CHINCHEROS"/>
    <s v="ONGOY"/>
    <x v="0"/>
    <s v="LIQUIDADO"/>
    <n v="30517.94"/>
    <n v="7629.49"/>
    <n v="0"/>
    <n v="38147.43"/>
  </r>
  <r>
    <s v="2008-1"/>
    <s v="112459"/>
    <s v="COMUNIDAD CAMPESINA MITOBAMBA -OCOBAMBA - CHINCHEROS - APURÍMAC"/>
    <s v="FORTALECIMIENTO DE LA ACTIVIDAD PRODUCTIVA DEL MELOCOTONERO CON LA PARTICIPACIÓN DE FAMILIAS DE COMUNIDAD CAMPESINA MITOBAMBA -OCOBAMBA - CHINCHEROS - APURÍMAC"/>
    <x v="2"/>
    <x v="0"/>
    <s v="CHINCHEROS"/>
    <s v="ONGOY"/>
    <x v="0"/>
    <s v="LIQUIDADO"/>
    <n v="28008"/>
    <n v="7002"/>
    <n v="0"/>
    <n v="35010"/>
  </r>
  <r>
    <s v="2010-2"/>
    <s v="166131"/>
    <s v="COMUNIDAD CAMPESINA DE ROCCCHACC, DISTRITO DE ONGOY, PROVINCIA CHINCHEROS, REGIÓN APURIMAC."/>
    <s v="MEJORAMIENTO DE LA CRIANZA DE CUYES CON FAMILIAS DEL ANEXO DE NUEVA ESPERANZA DE LA COMUNIDAD CAMPESINA DE ROCCCHACC, DISTRITO DE ONGOY, PROVINCIA CHINCHEROS, REGIÓN APURIMAC."/>
    <x v="5"/>
    <x v="0"/>
    <s v="CHINCHEROS"/>
    <s v="ONGOY"/>
    <x v="0"/>
    <s v="LIQUIDADO"/>
    <n v="39518.400000000001"/>
    <n v="9879.6"/>
    <n v="0"/>
    <n v="49398"/>
  </r>
  <r>
    <s v="2010-2"/>
    <s v="166975"/>
    <s v="COMUNIDAD CAMPESINA DE MIRAFLORES, DISTRITO ONGOY, PROVINCIA CHINCHEROS, REGIÓN APURÍMAC"/>
    <s v="MEJORAMIENTO DE LA CRIANZA DE CUYES CON LAS FAMILIAS DE LA COMUNIDAD CAMPESINA DE MIRAFLORES, DISTRITO ONGOY, PROVINCIA CHINCHEROS, REGIÓN APURÍMAC"/>
    <x v="5"/>
    <x v="0"/>
    <s v="CHINCHEROS"/>
    <s v="ONGOY"/>
    <x v="0"/>
    <s v="LIQUIDADO"/>
    <n v="39518.400000000001"/>
    <n v="9879.6"/>
    <n v="0"/>
    <n v="49398"/>
  </r>
  <r>
    <s v="2010-2"/>
    <s v="166137"/>
    <s v="COMUNIDAD CAMPESINA DE ROCCHACC, DISTRITO DE ONGOY, PROVINCIA DE CHINCHEROS, REGIÓN APURIMAC"/>
    <s v="MEJORAMIENTO DEL GANADO VACUNO CON LAS FAMILIAS DEL ANEXO VISTA ALEGRE DE LA COMUNIDAD CAMPESINA DE ROCCHACC, DISTRITO DE ONGOY, PROVINCIA DE CHINCHEROS, REGIÓN APURIMAC"/>
    <x v="12"/>
    <x v="0"/>
    <s v="CHINCHEROS"/>
    <s v="ONGOY"/>
    <x v="0"/>
    <s v="LIQUIDADO"/>
    <n v="39518.400000000001"/>
    <n v="9879.6"/>
    <n v="0"/>
    <n v="49398"/>
  </r>
  <r>
    <s v="2011-1"/>
    <s v="194459"/>
    <s v="COMUNIDAD CAMPESINA DE HUAMBURQUE, DISTRITO ONGOY, PROVINCIA CHINCHEROS, REGIÓN APURÍMAC"/>
    <s v="MEJORAMIENTO DE LA CRIANZA DE CUYES CON 40 FAMILIAS DE LA COMUNIDAD CAMPESINA DE HUAMBURQUE, DISTRITO ONGOY, PROVINCIA CHINCHEROS, REGIÓN APURÍMAC"/>
    <x v="5"/>
    <x v="0"/>
    <s v="CHINCHEROS"/>
    <s v="ONGOY"/>
    <x v="0"/>
    <s v="LIQUIDADO"/>
    <n v="39518.400000000001"/>
    <n v="9879.6"/>
    <n v="0"/>
    <n v="49398"/>
  </r>
  <r>
    <s v="2011-1"/>
    <s v="194657"/>
    <s v="COMUNIDAD CAMPESINA DE CABAÑA EL PORVENIR, DISTRITO ONGOY, PROVINCIA CHINCHEROS, REGION APURIMAC"/>
    <s v="MEJORAMIENTO DE LA CRIANZA DE OVINOS CON 40 FAMILIAS DE LA COMUNIDAD CAMPESINA DE CABAÑA EL PORVENIR, DISTRITO ONGOY, PROVINCIA CHINCHEROS, REGION APURIMAC"/>
    <x v="13"/>
    <x v="0"/>
    <s v="CHINCHEROS"/>
    <s v="ONGOY"/>
    <x v="0"/>
    <s v="LIQUIDADO"/>
    <n v="39518.400000000001"/>
    <n v="9879.6"/>
    <n v="0"/>
    <n v="49398"/>
  </r>
  <r>
    <s v="2011-1"/>
    <s v="194947"/>
    <s v="ANEXO DE MALLAUPAMPA DE LA COMUNIDAD CAMPESINA DE HUAMBURQUE, DISTRITO DE ONGOY, PROVINCIA CHINCHEROS, REGION APURIMAC"/>
    <s v="INSTALACION DE MODULOS DE RECURSOS HIDRICO PARA 40 FAMILIAS DEL ANEXO DE MALLAUPAMPA DE LA COMUNIDAD CAMPESINA DE HUAMBURQUE, DISTRITO DE ONGOY, PROVINCIA CHINCHEROS, REGION APURIMAC"/>
    <x v="0"/>
    <x v="0"/>
    <s v="CHINCHEROS"/>
    <s v="ONGOY"/>
    <x v="0"/>
    <s v="LIQUIDADO"/>
    <n v="39518.400000000001"/>
    <n v="9879.6"/>
    <n v="0"/>
    <n v="49398"/>
  </r>
  <r>
    <s v="2011-1"/>
    <s v="194953"/>
    <s v=" ANEXO DE CULLUBAMBA DE LACOMUNIDAD CAMPESINA DE ROCCHACC, DISTRITO ONGOY, PROVINCIA CHINCHEROS, REGION APURIMAC"/>
    <s v="INSTALACION DE MODULOS DE RECURSOS HIDRICO PARA 40 FAMILIAS DEL ANEXO DE CULLUBAMBA DE LA COMUNIDAD CAMPESINA DE ROCCHACC, DISTRITO ONGOY, PROVINCIA CHINCHEROS, REGION APURIMAC"/>
    <x v="0"/>
    <x v="0"/>
    <s v="CHINCHEROS"/>
    <s v="ONGOY"/>
    <x v="0"/>
    <s v="LIQUIDADO"/>
    <n v="39518.400000000001"/>
    <n v="9879.6"/>
    <n v="0"/>
    <n v="49398"/>
  </r>
  <r>
    <s v="2011-1"/>
    <s v="194968"/>
    <s v="ANEXO DE MIOPATA DE LA COMUNIDAD CAMPESINA DE ROCCHACC, DISTRITO ONGOY, PROVINCIA CHINCHERO, REGION APURIMAC"/>
    <s v="INSTALACION DE MODULOS DE RECURSOS HIDRICO PARA 40 FAMILIAS DEL ANEXO DE MIOPATA DE LA COMUNIDAD CAMPESINA DE ROCCHACC, DISTRITO ONGOY, PROVINCIA CHINCHERO, REGION APURIMAC"/>
    <x v="0"/>
    <x v="0"/>
    <s v="CHINCHEROS"/>
    <s v="ONGOY"/>
    <x v="0"/>
    <s v="LIQUIDADO"/>
    <n v="39518.400000000001"/>
    <n v="9879.6"/>
    <n v="0"/>
    <n v="49398"/>
  </r>
  <r>
    <s v="2011-1"/>
    <s v="198031"/>
    <s v="ANEXO PROGRESO COMUNIDAD CAMPESINA DE ROCCHACC, DISTRITO ONGOY, PROVINCIA CHINCHEROS, REGIÓN APURÍMAC"/>
    <s v="MEJORAMIENTO DE LA CRIANZA DE PORCINOS CON 40 FAMILIAS DEL ANEXO PROGRESO, COMUNIDAD CAMPESINA DE ROCCHACC, DISTRITO ONGOY, PROVINCIA CHINCHEROS, REGIÓN APURÍMAC"/>
    <x v="18"/>
    <x v="0"/>
    <s v="CHINCHEROS"/>
    <s v="ONGOY"/>
    <x v="0"/>
    <s v="LIQUIDADO"/>
    <n v="39518.400000000001"/>
    <n v="9879.6"/>
    <n v="0"/>
    <n v="49398"/>
  </r>
  <r>
    <s v="2011-1"/>
    <s v="198087"/>
    <s v="ANEXO DEL UNIÓN LOS PINOS, DE LA  COMUNIDAD CAMPESINA DE MOZOBAMBA, DISTRITO ONGOY, PROVINCIA CHINCHEROS, REGIÓN APURÍMAC"/>
    <s v="INSTALACION DE MÓDULOS DE RECURSOS HÍDRICO PARA 40 FAMILIAS DEL ANEXO DEL UNIÓN LOS PINOS, DE LA COMUNIDAD CAMPESINA DE MOZOBAMBA, DISTRITO ONGOY, PROVINCIA CHINCHEROS, REGIÓN APURÍMAC"/>
    <x v="0"/>
    <x v="0"/>
    <s v="CHINCHEROS"/>
    <s v="ONGOY"/>
    <x v="0"/>
    <s v="LIQUIDADO"/>
    <n v="39518.400000000001"/>
    <n v="9879.6"/>
    <n v="0"/>
    <n v="49398"/>
  </r>
  <r>
    <s v="2011-1"/>
    <s v="200056"/>
    <s v="ANEXO DE JALATO HUAYCCO EN LA COMUNIDAD CAMPESINA DE HUAMBURQUE-DISTRITO DE ONGOY-PROVINCIA CHINCHEROS-REGIÓN APURÍMAC"/>
    <s v="INSTALACION DE MÓDULOS DE RECURSOS HÍDRICOS PARA 40 FAMILIAS EN EL ANEXO DE JALATO HUAYCCO EN LA COMUNIDAD CAMPESINA DE HUAMBURQUE-DISTRITO DE ONGOY-PROVINCIA CHINCHEROS-REGIÓN APURÍMAC"/>
    <x v="0"/>
    <x v="0"/>
    <s v="CHINCHEROS"/>
    <s v="ONGOY"/>
    <x v="0"/>
    <s v="LIQUIDADO"/>
    <n v="39518.400000000001"/>
    <n v="9879.6"/>
    <n v="0"/>
    <n v="49398"/>
  </r>
  <r>
    <s v="2009-1"/>
    <s v="130950"/>
    <s v="ASOCIACIÓN DE PRODUCTORES DE TARA CULTIVADA DISTRITO DE ONGOY, PROVINCIA DE CHINCHEROS, REGIÓN APURIMAC."/>
    <s v="MEJORAMIENTO DE LA COMERCIALIZACIÓN DEL FRUTO DE TARA EN LA ASOCIACIÓN DE PRODUCTORES DE TARA CULTIVADA DISTRITO DE ONGOY, PROVINCIA DE CHINCHEROS, REGIÓN APURIMAC."/>
    <x v="3"/>
    <x v="0"/>
    <s v="CHINCHEROS"/>
    <s v="ONGOY"/>
    <x v="1"/>
    <s v="LIQUIDADO"/>
    <n v="41565"/>
    <n v="17813"/>
    <n v="0"/>
    <n v="59378"/>
  </r>
  <r>
    <s v="2011-1"/>
    <s v="199064"/>
    <s v="ASOCIACIÓN DE PRODUCTORES AGROINDUSTRIALES NUEVO AMANECER DE PORVENIR DISTRITO ONGOY, PROVINCIA CHINCHEROS, REGIÓN APURÍMAC."/>
    <s v="AMPLIACION DE LA PLANTA AGROINDUSTRIAL DE SUSTITUTOS LÁCTEOS Y MEJORA DE LA COMERCIALIZACIÓN CON LA ASOCIACIÓN DE PRODUCTORES AGROINDUSTRIALES NUEVO AMANECER DE PORVENIR DISTRITO ONGOY, PROVINCIA CHINCHEROS, REGIÓN APURÍMAC."/>
    <x v="20"/>
    <x v="0"/>
    <s v="CHINCHEROS"/>
    <s v="ONGOY"/>
    <x v="1"/>
    <s v="LIQUIDADO"/>
    <n v="23100"/>
    <n v="9900"/>
    <n v="0"/>
    <n v="33000"/>
  </r>
  <r>
    <s v="2011-1"/>
    <s v="198867"/>
    <s v="ASOCIACION DE PANIFICADORES VIRGEN DE LA ASUNCION DE ROCCHACC - ONGOY - CHINCHEROS - APURIMAC"/>
    <s v="MEJORAMIENTO DE LA PRODUCCION Y COMERCIALIZACION DE PRODUCTOS DE PANIFICACION DE LA ASOCIACION DE PANIFICADORES VIRGEN DE LA ASUNCION DE ROCCHACC - ONGOY - CHINCHEROS - APURIMAC"/>
    <x v="21"/>
    <x v="0"/>
    <s v="CHINCHEROS"/>
    <s v="ONGOY"/>
    <x v="1"/>
    <s v="LIQUIDADO"/>
    <n v="23100"/>
    <n v="9900"/>
    <n v="0"/>
    <n v="33000"/>
  </r>
  <r>
    <s v="2008-1"/>
    <s v="112027"/>
    <s v="“BRIZAS DE PINCHIN” TAMBO LA MAR -AYACUCHO"/>
    <s v="CRIANZA TECNIFICADA Y COMERCIALIZACION DE CUYES “BRIZAS DE PINCHIN” TAMBO LA MAR -AYACUCHO"/>
    <x v="5"/>
    <x v="1"/>
    <s v="LA MAR"/>
    <s v="TAMBO"/>
    <x v="1"/>
    <s v="LIQUIDADO"/>
    <n v="38678.44"/>
    <n v="16576.48"/>
    <n v="0"/>
    <n v="55254.92"/>
  </r>
  <r>
    <s v="2008-1"/>
    <s v="113716"/>
    <s v="ASOCIACION DE PRODUCTORES AGROPECUARIOS AGROINDUSTRIALES ALTO ANDINA BELEN QARHUAPAMPA - ASPRAGAB DEL DISTRITO DE TAMBO PROVINCIA DE LA MAR - AYACUCHO"/>
    <s v="FORTALECIMIENTO EN LA PRODUCCION, COMERCIALIZACION Y COMPETITIVIDAD DE GANADO VACUNO DE CARNE DE LA ASOCIACION DE PRODUCTORES AGROPECUARIOS AGROINDUSTRIALES ALTO ANDINA BELEN QARHUAPAMPA - ASPRAGAB DEL DISTRITO DE TAMBO PROVINCIA DE LA MAR - AYACUCHO"/>
    <x v="12"/>
    <x v="1"/>
    <s v="LA MAR"/>
    <s v="TAMBO"/>
    <x v="1"/>
    <s v="LIQUIDADO"/>
    <n v="55893.599999999999"/>
    <n v="23954.400000000001"/>
    <n v="0"/>
    <n v="79848"/>
  </r>
  <r>
    <s v="2009-1"/>
    <s v="128143"/>
    <s v="ASOCIACION DE PRODUCTORES AGROPECUARIOS Y AGROINDUSTRIALES DE TACMAPAMPA COMUNIDAD DE PAMPA HERMOSA-TAMBO-LA MAR"/>
    <s v="MEJORAMIENTO EN LA COMERCIALIZACION DE GANADO VACUNO EN LA ASOCIACION DE PRODUCTORES AGROPECUARIOS Y AGROINDUSTRIALES DE TACMAPAMPA COMUNIDAD DE PAMPA HERMOSA-TAMBO-LA MAR"/>
    <x v="12"/>
    <x v="1"/>
    <s v="LA MAR"/>
    <s v="TAMBO"/>
    <x v="1"/>
    <s v="LIQUIDADO"/>
    <n v="50400"/>
    <n v="21600"/>
    <n v="0"/>
    <n v="72000"/>
  </r>
  <r>
    <s v="2009-1"/>
    <s v="128146"/>
    <s v="ASOCIACION DE PRODUCTORES AGROPECUARIOS UNION TAMBO APAUT DEL DISTRITO DE TAMBO, PROVINCIA DE LA MAR-AYACUCHO"/>
    <s v="MEJORAMIENTO DE LAS CAPACIDADES PRODUCTIVAS Y COMERCIALIZACION DE GANADO VACUNO DE LA ASOCIACION DE PRODUCTORES AGROPECUARIOS UNION TAMBO APAUT DEL DISTRITO DE TAMBO, PROVINCIA DE LA MAR-AYACUCHO"/>
    <x v="12"/>
    <x v="1"/>
    <s v="LA MAR"/>
    <s v="TAMBO"/>
    <x v="1"/>
    <s v="LIQUIDADO"/>
    <n v="33600"/>
    <n v="14400"/>
    <n v="0"/>
    <n v="48000"/>
  </r>
  <r>
    <s v="2009-2"/>
    <s v="135215"/>
    <s v="ASOCIACION DE PEQUEÑOS PRODUCTORES AGROPECUARIOS DE TANTACCOCHA-ITAPOYOCC DEL DISTRITO DE TAMBO PROVINCIA DE LA MAR - AYACUCHO"/>
    <s v="FORTALECIMIENTO DE LA PRODUCCION, PROCESAMIENTO Y COMERCIALIZACION DE GRANOS Y CEREALES ANDINOS DE LA ASOCIACION DE PEQUEÑOS PRODUCTORES AGROPECUARIOS DE TANTACCOCHA-ITAPOYOCC DEL DISTRITO DE TAMBO PROVINCIA DE LA MAR - AYACUCHO"/>
    <x v="10"/>
    <x v="1"/>
    <s v="LA MAR"/>
    <s v="TAMBO"/>
    <x v="1"/>
    <s v="LIQUIDADO"/>
    <n v="19670"/>
    <n v="8430"/>
    <n v="0"/>
    <n v="28100"/>
  </r>
  <r>
    <s v="2009-1"/>
    <s v="127932"/>
    <s v="COMUNIDAD CAMPESINA PALTAMARCA - PACHAMARCA - CHURCAMPA - HVCA"/>
    <s v="FORTALECIMIENTO DE CAPACIDADES EN EL MANEJO DE RIEGO POR ASPERSIÓN Y COMPOSTURA EN LA COMUNIDAD CAMPESINA PALTAMARCA - PACHAMARCA - CHURCAMPA - HVCA"/>
    <x v="0"/>
    <x v="2"/>
    <s v="CHURCAMPA"/>
    <s v="PACHAMARCA"/>
    <x v="0"/>
    <s v="LIQUIDADO"/>
    <n v="33650"/>
    <n v="8413"/>
    <n v="0"/>
    <n v="42063"/>
  </r>
  <r>
    <s v="2009-1"/>
    <s v="128237"/>
    <s v="ANEXO YANARUMI, COMUNIDAD CAMPESINA ILLPE JAMBATO PATIBAMBA - PACHAMARCA - CHURCAMPA - HVCA"/>
    <s v="FORTALECIMIENTO DE CAPACIDADES EN EL MEJORAMIENTO Y MANEJO DE GANADO VACUNO EN EL ANEXO YANARUMI, COMUNIDAD CAMPESINA ILLPE JAMBATO PATIBAMBA - PACHAMARCA - CHURCAMPA - HVCA"/>
    <x v="12"/>
    <x v="2"/>
    <s v="CHURCAMPA"/>
    <s v="PACHAMARCA"/>
    <x v="0"/>
    <s v="LIQUIDADO"/>
    <n v="33633"/>
    <n v="8430"/>
    <n v="0"/>
    <n v="42063"/>
  </r>
  <r>
    <s v="2009-1"/>
    <s v="128497"/>
    <s v="ANEXO PUMARANRA, COMUNIDAD CAMPESINA CCOYLLORPANCCA PACCHAPAMPA - PACHAMARCA - CHURCAMPA - HVCA"/>
    <s v="FORTALECIMIENTO DE CAPACIDADES EN EL MANEJO DE RIEGO POR ASPERSIÓN EN EL ANEXO PUMARANRA, COMUNIDAD CAMPESINA CCOYLLORPANCCA PACCHAPAMPA - PACHAMARCA - CHURCAMPA - HVCA"/>
    <x v="0"/>
    <x v="2"/>
    <s v="CHURCAMPA"/>
    <s v="PACHAMARCA"/>
    <x v="0"/>
    <s v="LIQUIDADO"/>
    <n v="33650"/>
    <n v="8413"/>
    <n v="0"/>
    <n v="42063"/>
  </r>
  <r>
    <s v="2009-1"/>
    <s v="128727"/>
    <s v="ANEXO PACCCHAPAMPA, COMUNIDAD CAMPESINA CCOYLLORPANCCA PACCCHAPAMPA - PACHAMARCA -CHURCAMPA-HVCA"/>
    <s v="FORTALECIMIENTO DE CAPACIDADES EN EL MANEJO DE RIEGO EN EL ANEXO PACCCHAPAMPA, COMUNIDAD CAMPESINA CCOYLLORPANCCA PACCCHAPAMPA - PACHAMARCA -CHURCAMPA-HVCA"/>
    <x v="0"/>
    <x v="2"/>
    <s v="CHURCAMPA"/>
    <s v="PACHAMARCA"/>
    <x v="0"/>
    <s v="LIQUIDADO"/>
    <n v="33650"/>
    <n v="8413"/>
    <n v="0"/>
    <n v="42063"/>
  </r>
  <r>
    <s v="2010-1"/>
    <s v="161463"/>
    <s v="ASOCIACIÓN DE PRODUCTORES LÁCTEOS MANATIAL DE VIDA APROLAC, DISTRITO DE PAUCARBAMBA, PROVINCIA DE CHURCAMPA, DEPARTAMENTO DE HUANCAVELICA"/>
    <s v="MEJORAMIENTO DE LA PRODUCCIÓN Y COMERCIALIZACIÓN DE YOGURT DE LA ASOCIACIÓN DE PRODUCTORES LÁCTEOS MANATIAL DE VIDA APROLAC, DISTRITO DE PAUCARBAMBA, PROVINCIA DE CHURCAMPA, DEPARTAMENTO DE HUANCAVELICA"/>
    <x v="20"/>
    <x v="2"/>
    <s v="CHURCAMPA"/>
    <s v="PAUCARBAMBA"/>
    <x v="1"/>
    <s v="LIQUIDADO"/>
    <n v="31926.3"/>
    <n v="13682.7"/>
    <n v="0"/>
    <n v="45609"/>
  </r>
  <r>
    <s v="2010-1"/>
    <s v="161586"/>
    <s v="ASOCIACIÓN DE PRODUCTORES DE VACUNOS DE LECHE - VALLE DE PAUCARBAMBA (PARACCAY, SALLCCABAMBA, SILLÓN), DIST.PAUCARBAMBA, PROV.CHURCAMPA-HUANCAVELICA"/>
    <s v="MEJORAMIENTO DE LA PRODUCCIÓN, TRANSFORMACIÓN Y COMERCIALIZACIÓN DE DERIVADOS LÁCTEOS (QUESO) DE LA ASOCIACIÓN DE PRODUCTORES DE VACUNOS DE LECHE - VALLE DE PAUCARBAMBA (PARACCAY, SALLCCABAMBA, SILLÓN), DIST.PAUCARBAMBA, PROV.CHURCAMPA-HUANCAVELICA"/>
    <x v="20"/>
    <x v="2"/>
    <s v="CHURCAMPA"/>
    <s v="PAUCARBAMBA"/>
    <x v="1"/>
    <s v="LIQUIDADO"/>
    <n v="23100"/>
    <n v="9900"/>
    <n v="0"/>
    <n v="33000"/>
  </r>
  <r>
    <s v="2010-2"/>
    <s v="167492"/>
    <s v="ASOCIACION DE PRODUCTORES DE CUYES VILLA PAUCARBAMBA, DISTRITO DE PAUCARBAMBA - PROVINCIA DE CHURCAMPA - HUANCAVELICA"/>
    <s v="MEJORAMIENTO DE LA PRODUCCIÓN Y COMERCIALIZACIÓN DE CUYES MEJORADOS DE LA ASOCIACION DE PRODUCTORES DE CUYES VILLA PAUCARBAMBA, DISTRITO DE PAUCARBAMBA - PROVINCIA DE CHURCAMPA - HUANCAVELICA"/>
    <x v="5"/>
    <x v="2"/>
    <s v="CHURCAMPA"/>
    <s v="PAUCARBAMBA"/>
    <x v="1"/>
    <s v="LIQUIDADO"/>
    <n v="23100"/>
    <n v="9900"/>
    <n v="0"/>
    <n v="33000"/>
  </r>
  <r>
    <s v="2010-2"/>
    <s v="167418"/>
    <s v="ASOCIACIÓN DE PRODUCTORES AGROINDUSTRIA Y PECUARIA HUAMANCCASA, DISTRITO DE PAUCARBAMBA, PROVINCIA DE CHURCAMPA, REGION DE HUANCAVELICA"/>
    <s v="MEJORAMIENTO DE LA PRODUCCIÓN Y COMERCIALIZACIÓN DE QUESO Y YOGURT EN LA ASOCIACIÓN DE PRODUCTORES AGROINDUSTRIA Y PECUARIA HUAMANCCASA, DISTRITO DE PAUCARBAMBA, PROVINCIA DE CHURCAMPA, REGION DE HUANCAVELICA"/>
    <x v="20"/>
    <x v="2"/>
    <s v="CHURCAMPA"/>
    <s v="PAUCARBAMBA"/>
    <x v="1"/>
    <s v="LIQUIDADO"/>
    <n v="23100"/>
    <n v="9900"/>
    <n v="0"/>
    <n v="33000"/>
  </r>
  <r>
    <s v="2010-2"/>
    <s v="167436"/>
    <s v="ASOCIACIÓN DE PRODUCTORES DE MAIZ NUEVO AMANECER DE HUAYLLAPAMPA, DISTRITO DE PAUCARBAMBA, PROVINCIA DE CHURCAMPA, DEPARTAMENTO DE HUANCAVELICA"/>
    <s v="MEJORAMIENTO DE LA PRODUCCIÓN Y COMERCIALIZACIÓN DE MAÍZ AMILÁCEO DE LA ASOCIACIÓN DE PRODUCTORES DE MAIZ NUEVO AMANECER DE HUAYLLAPAMPA, DISTRITO DE PAUCARBAMBA, PROVINCIA DE CHURCAMPA, DEPARTAMENTO DE HUANCAVELICA"/>
    <x v="14"/>
    <x v="2"/>
    <s v="CHURCAMPA"/>
    <s v="PAUCARBAMBA"/>
    <x v="1"/>
    <s v="LIQUIDADO"/>
    <n v="23100"/>
    <n v="9900"/>
    <n v="0"/>
    <n v="33000"/>
  </r>
  <r>
    <s v="2009-1"/>
    <s v="128168"/>
    <s v="COMUNIDAD CAMPESINA PUMAMARCA - SAN PEDRO DE CORIS - CHURCAMPA- HVCA"/>
    <s v="FORTALECIMIENTO DE CAPACIDADES EN CRIANZA DE CUYES DE LAS FAMILIAS DE LA COMUNIDAD CAMPESINA PUMAMARCA - SAN PEDRO DE CORIS - CHURCAMPA- HVCA"/>
    <x v="5"/>
    <x v="2"/>
    <s v="CHURCAMPA"/>
    <s v="SAN PEDRO DE CORIS"/>
    <x v="0"/>
    <s v="LIQUIDADO"/>
    <n v="33650"/>
    <n v="8413"/>
    <n v="0"/>
    <n v="42063"/>
  </r>
  <r>
    <s v="2009-1"/>
    <s v="128169"/>
    <s v="COMUNIDAD CAMPESINA UNIÓN PANTY - SAN PEDRO DE CORIS - CHURCAMPA- HVCA"/>
    <s v="FORTALECIMIENTO DE CAPACIDADES EN CRIANZA DE CUYES DE LAS FAMILIAS DE LA COMUNIDAD CAMPESINA UNIÓN PANTY - SAN PEDRO DE CORIS - CHURCAMPA- HVCA"/>
    <x v="5"/>
    <x v="2"/>
    <s v="CHURCAMPA"/>
    <s v="SAN PEDRO DE CORIS"/>
    <x v="0"/>
    <s v="LIQUIDADO"/>
    <n v="33650"/>
    <n v="8413"/>
    <n v="0"/>
    <n v="42063"/>
  </r>
  <r>
    <s v="2008-1"/>
    <s v="112498"/>
    <s v="COMUNIDAD CAMPESINA QUISHUAR - QUISHUAR - TAYACAHA  -  HVCA"/>
    <s v="MEJORAMIENTO DE LA PRODUCCION DE TARA CON FAMILIA DE LA COMUNIDAD CAMPESINA QUISHUAR - QUISHUAR - TAYACAHA  -  HVCA"/>
    <x v="3"/>
    <x v="2"/>
    <s v="TAYACAJA"/>
    <s v="QUISHUAR"/>
    <x v="0"/>
    <s v="LIQUIDADO"/>
    <n v="33720"/>
    <n v="17100"/>
    <n v="11152"/>
    <n v="61972"/>
  </r>
  <r>
    <s v="2011-1"/>
    <s v="199503"/>
    <s v="ASOCIACIÓN DE PRODUCTORES AGROPECUARIOS, AGROINDUSTRIAL Y TURÍSTICO LA UNIÓN AGRARIA DE QUISHUAR - QUISHUAR - TAYACAJA HUANCAVELICA"/>
    <s v="MEJORAMIENTO DE LA PRODUCCIÓN TRANSFORMACIÓN Y COMERCIALIZACIÓN DE CEREALES, DE LAS FAMILIAS DE LA ASOCIACIÓN DE PRODUCTORES AGROPECUARIOS, AGROINDUSTRIAL Y TURÍSTICO LA UNIÓN AGRARIA DE QUISHUAR - QUISHUAR - TAYACAJA HUANCAVELICA"/>
    <x v="22"/>
    <x v="2"/>
    <s v="TAYACAJA"/>
    <s v="QUISHUAR"/>
    <x v="1"/>
    <s v="LIQUIDADO"/>
    <n v="39930.1"/>
    <n v="17112.900000000001"/>
    <n v="0"/>
    <n v="57043"/>
  </r>
  <r>
    <s v="2010-2"/>
    <s v="166959"/>
    <s v="ASOCIACIÓN DE PRODUCTORES AGROPECUARIOS AGROANDINO, DISTRITO DE ANDAMARCA, PROVINCIA DE CONCEPCIÓN Y REGIÓN JUNÍN"/>
    <s v="MEJORAMIENTO DE LA PRODUCCIÓN Y COMERCIALIZACIÓN DE PALTO DE LA ASOCIACIÓN DE PRODUCTORES AGROPECUARIOS AGROANDINO, DISTRITO DE ANDAMARCA, PROVINCIA DE CONCEPCIÓN Y REGIÓN JUNÍN"/>
    <x v="4"/>
    <x v="3"/>
    <s v="CONCEPCION"/>
    <s v="ANDAMARCA"/>
    <x v="1"/>
    <s v="LIQUIDADO"/>
    <n v="23100"/>
    <n v="9900"/>
    <n v="0"/>
    <n v="33000"/>
  </r>
  <r>
    <s v="2010-2"/>
    <s v="167045"/>
    <s v="ASOCIACIÓN DE MUJERES ARTESANAS AGROPECUARIAS KUSI WALMIS, DISTRITO DE ANDAMARCA, PROVINCIA DE CONCEPCIÓN, REGIÓN JUNÍN"/>
    <s v="MEJORAMIENTO DE LA PRODUCCIÓN Y COMERCIALIZACIÓN DE TEJIDOS EN TELAR DE LA ASOCIACIÓN DE MUJERES ARTESANAS AGROPECUARIAS KUSI WALMIS, DISTRITO DE ANDAMARCA, PROVINCIA DE CONCEPCIÓN, REGIÓN JUNÍN"/>
    <x v="23"/>
    <x v="3"/>
    <s v="CONCEPCION"/>
    <s v="ANDAMARCA"/>
    <x v="1"/>
    <s v="LIQUIDADO"/>
    <n v="23100"/>
    <n v="9900"/>
    <n v="0"/>
    <n v="33000"/>
  </r>
  <r>
    <s v="2011-1"/>
    <s v="198375"/>
    <s v="ASOCIACIÓN DE PRODUCTORES AGROPECUARIOS LOS ECOLOGISTAS DE LA COMUNIDAD DE MATAPA, DISTRITO ANDAMARCA PROVINCIA CONCEPCIÓN- JUNÍN"/>
    <s v="MEJORAMIENTO DE LA PRODUCCIÓN Y COMERCIALIZACION DE PALTA DE LA ASOCIACIÓN DE PRODUCTORES AGROPECUARIOS LOS ECOLOGISTAS DE LA COMUNIDAD DE MATAPA, DISTRITO ANDAMARCA PROVINCIA CONCEPCIÓN- JUNÍN"/>
    <x v="4"/>
    <x v="3"/>
    <s v="CONCEPCION"/>
    <s v="ANDAMARCA"/>
    <x v="1"/>
    <s v="LIQUIDADO"/>
    <n v="23100"/>
    <n v="9900"/>
    <n v="0"/>
    <n v="33000"/>
  </r>
</pivotCacheRecords>
</file>

<file path=xl/pivotCache/pivotCacheRecords2.xml><?xml version="1.0" encoding="utf-8"?>
<pivotCacheRecords xmlns="http://schemas.openxmlformats.org/spreadsheetml/2006/main" xmlns:r="http://schemas.openxmlformats.org/officeDocument/2006/relationships" count="53">
  <r>
    <x v="0"/>
    <x v="0"/>
    <s v="0026-PDN-2015"/>
    <s v="ASOCIACION DE PRODUCTORES AGROPECUARIOS DE VALLE DE TOXAMA"/>
    <s v="FORTALECIMIENTO DE LAS CAPACIDADES PARA EL MEJORAMIENTO DE LA CRIANZA DE PORCINOS"/>
    <s v="PECUARIO"/>
    <x v="0"/>
    <x v="0"/>
    <s v="ANDAHUAYLAS"/>
    <s v="ANDARAPA"/>
    <s v="SAN MARTIN DE TOXAMA"/>
    <n v="-13.534287452699999"/>
    <n v="-73.396041870120001"/>
    <n v="2618"/>
    <n v="1"/>
    <n v="60"/>
    <n v="29"/>
    <n v="31"/>
    <n v="4"/>
    <n v="6"/>
    <n v="10"/>
    <n v="51"/>
    <n v="23"/>
    <n v="28"/>
    <n v="4"/>
    <n v="5"/>
    <n v="9"/>
    <n v="40900"/>
    <n v="17100"/>
    <n v="0"/>
    <n v="58000"/>
    <s v="Exitoso"/>
    <n v="78.3"/>
    <n v="1100"/>
    <n v="1350"/>
    <n v="250"/>
    <n v="0.22727272727272727"/>
    <n v="13200"/>
    <n v="20250"/>
    <n v="7050"/>
    <n v="0.53409090909090906"/>
    <n v="980"/>
    <n v="1250"/>
    <n v="270"/>
    <n v="0.27551020408163263"/>
    <n v="11760"/>
    <n v="18750"/>
    <n v="6990"/>
    <n v="0.59438775510204078"/>
    <n v="54910"/>
    <n v="38284"/>
    <n v="38284"/>
    <n v="0.69721362229102168"/>
  </r>
  <r>
    <x v="1"/>
    <x v="0"/>
    <s v="0027-PDN-2015"/>
    <s v="ASOCIACION PRODUCTIVA AGROPECUARIA PAPAS NATIVAS DE LOS ANDES PUYHUALLA CENTRO"/>
    <s v="FORTALECIMIENTO DE LAS CAPACIDADES PARA LA PRODUCCIÃ“N Y COMERCIALIZACIÃ“N DE PAPAS NATIVAS"/>
    <s v="AGRICOLA"/>
    <x v="1"/>
    <x v="0"/>
    <s v="ANDAHUAYLAS"/>
    <s v="ANDARAPA"/>
    <s v="PUYHUALLA CENTRO"/>
    <n v="-13.55224895477"/>
    <n v="-73.342323303219999"/>
    <n v="3513"/>
    <n v="1"/>
    <n v="42"/>
    <n v="23"/>
    <n v="19"/>
    <n v="0"/>
    <n v="3"/>
    <n v="3"/>
    <n v="28"/>
    <n v="22"/>
    <n v="6"/>
    <n v="0"/>
    <n v="2"/>
    <n v="2"/>
    <n v="29070"/>
    <n v="12030"/>
    <n v="0"/>
    <n v="41119.5"/>
    <s v="Muy Exitoso"/>
    <n v="84.6"/>
    <n v="11000"/>
    <n v="15000"/>
    <n v="4000"/>
    <n v="0.36363636363636365"/>
    <n v="18700"/>
    <n v="30000"/>
    <n v="11300"/>
    <n v="0.60427807486631013"/>
    <n v="9500"/>
    <n v="12000"/>
    <n v="2500"/>
    <n v="0.26315789473684209"/>
    <n v="16150"/>
    <n v="24000"/>
    <n v="7850"/>
    <n v="0.48606811145510836"/>
    <n v="41000"/>
    <n v="24900"/>
    <n v="24900"/>
    <n v="0.60731707317073169"/>
  </r>
  <r>
    <x v="2"/>
    <x v="0"/>
    <s v="0028-PDN-2015"/>
    <s v="ASOCIACION DE PRODUCTORES AGROPECUARIOS Y CIVIL CERCADO ANDARAPA"/>
    <s v="FORTALECIMIENTO DE LAS CAPACIDADES PARA EL INCREMENTO DE LA PRODUCCIÃ“N Y COMERCIALIZACIÃ“N DE HUEVO DE GALLINA DE CORRAL"/>
    <s v="PECUARIO"/>
    <x v="2"/>
    <x v="0"/>
    <s v="ANDAHUAYLAS"/>
    <s v="ANDARAPA"/>
    <s v="ANDARAPA"/>
    <n v="-13.528211593629999"/>
    <n v="-73.365753173830001"/>
    <n v="2977"/>
    <n v="1"/>
    <n v="31"/>
    <n v="16"/>
    <n v="15"/>
    <n v="3"/>
    <n v="4"/>
    <n v="7"/>
    <n v="20"/>
    <n v="11"/>
    <n v="9"/>
    <n v="3"/>
    <n v="4"/>
    <n v="7"/>
    <n v="26410"/>
    <n v="10890"/>
    <n v="0"/>
    <n v="37300.85"/>
    <s v="Exitoso"/>
    <n v="74.3"/>
    <n v="1120"/>
    <n v="1600"/>
    <n v="480"/>
    <n v="0.42857142857142855"/>
    <n v="7000"/>
    <n v="12000"/>
    <n v="5000"/>
    <n v="0.7142857142857143"/>
    <n v="928"/>
    <n v="1120"/>
    <n v="192"/>
    <n v="0.20689655172413793"/>
    <n v="5800"/>
    <n v="8400"/>
    <n v="2600"/>
    <n v="0.44827586206896552"/>
    <n v="63600"/>
    <n v="21200"/>
    <n v="21200"/>
    <n v="0.33333333333333331"/>
  </r>
  <r>
    <x v="3"/>
    <x v="1"/>
    <s v="0029-PDT-2015"/>
    <s v="COMUNIDAD CAMPESINA ANDARAPA ANEXO ANTACCOCHA"/>
    <s v="MEJORAMIENTO DEL SISTEMA DE RIEGO TECNIFICADO PARA BIO HUERTO FAMILIAR"/>
    <s v="SEGURIDAD ALIMENTARIA"/>
    <x v="3"/>
    <x v="0"/>
    <s v="ANDAHUAYLAS"/>
    <s v="ANDARAPA"/>
    <s v="ANTACCOCHA"/>
    <n v="-13.535510063169999"/>
    <n v="-73.363357543950002"/>
    <n v="3071"/>
    <n v="1"/>
    <n v="40"/>
    <n v="25"/>
    <n v="15"/>
    <n v="6"/>
    <n v="3"/>
    <n v="9"/>
    <n v="40"/>
    <n v="25"/>
    <n v="15"/>
    <n v="6"/>
    <n v="3"/>
    <n v="9"/>
    <n v="37200"/>
    <n v="0"/>
    <n v="8800"/>
    <n v="46005.95"/>
    <s v="Exitoso"/>
    <n v="75.2"/>
    <n v="0"/>
    <n v="0"/>
    <n v="0"/>
    <e v="#DIV/0!"/>
    <n v="0"/>
    <n v="0"/>
    <n v="0"/>
    <e v="#DIV/0!"/>
    <n v="0"/>
    <n v="0"/>
    <n v="0"/>
    <e v="#DIV/0!"/>
    <n v="0"/>
    <n v="0"/>
    <n v="0"/>
    <e v="#DIV/0!"/>
    <n v="50320"/>
    <n v="33440"/>
    <n v="33440"/>
    <n v="0.66454689984101745"/>
  </r>
  <r>
    <x v="4"/>
    <x v="1"/>
    <s v="0049-PDT-2015"/>
    <s v="COMUNIDAD CAMPESINA DE HUANCAS"/>
    <s v="REFORESTACIÃ“N Y RECUPERACIÃ“N DE MANANTES DEL ANEXO DE CUNYARI"/>
    <s v="MANEJO DE LOS RECURSOS NATURALES"/>
    <x v="4"/>
    <x v="0"/>
    <s v="ANDAHUAYLAS"/>
    <s v="ANDARAPA"/>
    <s v="HUANCAS"/>
    <n v="-13.477033615110001"/>
    <n v="-73.372261047359999"/>
    <n v="3159"/>
    <n v="1"/>
    <n v="61"/>
    <n v="31"/>
    <n v="30"/>
    <n v="7"/>
    <n v="7"/>
    <n v="14"/>
    <n v="35"/>
    <n v="25"/>
    <n v="10"/>
    <n v="7"/>
    <n v="1"/>
    <n v="8"/>
    <n v="37200"/>
    <n v="0"/>
    <n v="8800"/>
    <n v="46000"/>
    <s v="Exitoso"/>
    <n v="73.3"/>
    <n v="0"/>
    <n v="0"/>
    <n v="0"/>
    <e v="#DIV/0!"/>
    <n v="0"/>
    <n v="0"/>
    <n v="0"/>
    <e v="#DIV/0!"/>
    <n v="0"/>
    <n v="0"/>
    <n v="0"/>
    <e v="#DIV/0!"/>
    <n v="0"/>
    <n v="0"/>
    <n v="0"/>
    <e v="#DIV/0!"/>
    <n v="57304"/>
    <n v="24308"/>
    <n v="24308"/>
    <n v="0.42419377355856486"/>
  </r>
  <r>
    <x v="5"/>
    <x v="1"/>
    <s v="0050-PDT-2015"/>
    <s v="COMUNIDAD CAMPESINA PISCOBAMBA - ANEXO CCOLLCCA"/>
    <s v="CRIANZA DE GALLINAS PARA EL MEJORAMIENTO DE LA ALIMENTACIÃ“N DE LAS FAMILIAS DEL ANEXO CCOLLCCA"/>
    <s v="SEGURIDAD ALIMENTARIA"/>
    <x v="5"/>
    <x v="0"/>
    <s v="CHINCHEROS"/>
    <s v="OCOBAMBA"/>
    <s v="PISCOBAMBA BAJA"/>
    <n v="-13.560250282289999"/>
    <n v="-73.48462677002"/>
    <n v="3101"/>
    <n v="2"/>
    <n v="67"/>
    <n v="24"/>
    <n v="43"/>
    <n v="1"/>
    <n v="8"/>
    <n v="9"/>
    <n v="28"/>
    <n v="24"/>
    <n v="4"/>
    <n v="1"/>
    <n v="1"/>
    <n v="2"/>
    <n v="37680"/>
    <n v="0"/>
    <n v="8920"/>
    <n v="46624.31"/>
    <s v="Poco Exitoso"/>
    <n v="69.900000000000006"/>
    <n v="0"/>
    <n v="0"/>
    <n v="0"/>
    <e v="#DIV/0!"/>
    <n v="0"/>
    <n v="0"/>
    <n v="0"/>
    <e v="#DIV/0!"/>
    <n v="0"/>
    <n v="0"/>
    <n v="0"/>
    <e v="#DIV/0!"/>
    <n v="0"/>
    <n v="0"/>
    <n v="0"/>
    <e v="#DIV/0!"/>
    <n v="92500"/>
    <n v="31520"/>
    <n v="31520"/>
    <n v="0.34075675675675676"/>
  </r>
  <r>
    <x v="6"/>
    <x v="0"/>
    <s v="0052-PDN-2015"/>
    <s v="ASOCIACIÓN LAS TRIUNFADORAS DE KAQUIABAMBA"/>
    <s v="MEJORAMIENTO DE LA PRODUCCIÃ“N Y COMERCIALIZACIÃ“N DE AVES DE POSTURA"/>
    <s v="PECUARIO"/>
    <x v="2"/>
    <x v="0"/>
    <s v="ANDAHUAYLAS"/>
    <s v="KAQUIABAMBA"/>
    <s v="KAQUIABAMBA"/>
    <n v="-13.53239345551"/>
    <n v="-73.288635253910002"/>
    <n v="3117"/>
    <n v="2"/>
    <n v="35"/>
    <n v="15"/>
    <n v="20"/>
    <n v="2"/>
    <n v="4"/>
    <n v="6"/>
    <n v="24"/>
    <n v="15"/>
    <n v="9"/>
    <n v="2"/>
    <n v="2"/>
    <n v="4"/>
    <n v="61400"/>
    <n v="24600"/>
    <n v="0"/>
    <n v="86000"/>
    <s v="Exitoso"/>
    <n v="79.900000000000006"/>
    <n v="825"/>
    <n v="1110"/>
    <n v="285"/>
    <n v="0.34545454545454546"/>
    <n v="6600"/>
    <n v="8877"/>
    <n v="2277"/>
    <n v="0.34499999999999997"/>
    <n v="800"/>
    <n v="1100"/>
    <n v="300"/>
    <n v="0.375"/>
    <n v="6400"/>
    <n v="8800"/>
    <n v="2400"/>
    <n v="0.375"/>
    <n v="88800"/>
    <n v="59630"/>
    <n v="59630"/>
    <n v="0.67150900900900901"/>
  </r>
  <r>
    <x v="7"/>
    <x v="0"/>
    <s v="0063-PDN-2015"/>
    <s v="ASOCIACIÃ³N DE NUEVA FORTALEZA MITOBAMBA"/>
    <s v="MEJORAMIEBNTO DE LA PRODUCCIÃ“N Y COMERCIALIZACIÃ“N DE CUYES"/>
    <s v="PECUARIO"/>
    <x v="6"/>
    <x v="0"/>
    <s v="CHINCHEROS"/>
    <s v="OCOBAMBA"/>
    <s v="MITOBAMBA"/>
    <n v="-13.479425430299999"/>
    <n v="-73.549438476559999"/>
    <n v="2968"/>
    <n v="2"/>
    <n v="42"/>
    <n v="13"/>
    <n v="29"/>
    <n v="3"/>
    <n v="5"/>
    <n v="8"/>
    <n v="30"/>
    <n v="4"/>
    <n v="26"/>
    <n v="1"/>
    <n v="5"/>
    <n v="6"/>
    <n v="41754"/>
    <n v="18996"/>
    <n v="0"/>
    <n v="60767.43"/>
    <s v="Exitoso"/>
    <n v="70"/>
    <n v="1080"/>
    <n v="1620"/>
    <n v="540"/>
    <n v="0.5"/>
    <n v="16800"/>
    <n v="25200"/>
    <n v="8400"/>
    <n v="0.5"/>
    <n v="810"/>
    <n v="1296"/>
    <n v="486"/>
    <n v="0.6"/>
    <n v="12600"/>
    <n v="20160"/>
    <n v="7560"/>
    <n v="0.6"/>
    <n v="52500"/>
    <n v="34350"/>
    <n v="34350"/>
    <n v="0.65428571428571425"/>
  </r>
  <r>
    <x v="8"/>
    <x v="0"/>
    <s v="0065-PDN-2015"/>
    <s v="ASOCIACIÃ³N JUAN VELASCO ALVARADO DEL DISTRITO DE ANDARAPA AJVADA"/>
    <s v="FORTALECIMIENTO DE LAS CAPACIDADES PARA EL MEJORAMIENTO DE LA CRIANZA Y COMERCIALIZACIÃ“N DE PORCINOS"/>
    <s v="PECUARIO"/>
    <x v="0"/>
    <x v="0"/>
    <s v="ANDAHUAYLAS"/>
    <s v="ANDARAPA"/>
    <s v="HUAYAUPAMPA"/>
    <n v="-13.52082061768"/>
    <n v="-73.363395690920001"/>
    <n v="2909"/>
    <n v="1"/>
    <n v="21"/>
    <n v="10"/>
    <n v="11"/>
    <n v="1"/>
    <n v="2"/>
    <n v="3"/>
    <n v="12"/>
    <n v="10"/>
    <n v="2"/>
    <n v="1"/>
    <n v="1"/>
    <n v="2"/>
    <n v="20600"/>
    <n v="8400"/>
    <n v="0"/>
    <n v="29000"/>
    <s v="Exitoso"/>
    <n v="70.400000000000006"/>
    <n v="500"/>
    <n v="700"/>
    <n v="200"/>
    <n v="0.4"/>
    <n v="5500"/>
    <n v="8400"/>
    <n v="2900"/>
    <n v="0.52727272727272723"/>
    <n v="400"/>
    <n v="650"/>
    <n v="250"/>
    <n v="0.625"/>
    <n v="4400"/>
    <n v="7800"/>
    <n v="3400"/>
    <n v="0.77272727272727271"/>
    <n v="53800"/>
    <n v="15160"/>
    <n v="15160"/>
    <n v="0.28178438661710037"/>
  </r>
  <r>
    <x v="9"/>
    <x v="1"/>
    <s v="0067-PDT-2015"/>
    <s v="COMUNIDAD CAMPESINA HUALLAHUAYOCC, ANEXO NUEVA ESPERANZA DE MARCOCCASA"/>
    <s v="MEJORAMIENTO DEL SISTEMA DE AGUA POTABLE"/>
    <s v="VIVIENDA RURAL"/>
    <x v="7"/>
    <x v="0"/>
    <s v="ANDAHUAYLAS"/>
    <s v="ANDARAPA"/>
    <s v="HUALLHUAYOCC"/>
    <n v="-13.54908370972"/>
    <n v="-73.363632202150001"/>
    <n v="3331"/>
    <n v="1"/>
    <n v="67"/>
    <n v="32"/>
    <n v="35"/>
    <n v="6"/>
    <n v="6"/>
    <n v="12"/>
    <n v="28"/>
    <n v="22"/>
    <n v="6"/>
    <n v="4"/>
    <n v="1"/>
    <n v="5"/>
    <n v="37680"/>
    <n v="2.2000000000000002"/>
    <n v="8920"/>
    <n v="46602.2"/>
    <s v="Exitoso"/>
    <n v="72.8"/>
    <n v="0"/>
    <n v="0"/>
    <n v="0"/>
    <e v="#DIV/0!"/>
    <n v="0"/>
    <n v="0"/>
    <n v="0"/>
    <e v="#DIV/0!"/>
    <n v="0"/>
    <n v="0"/>
    <n v="0"/>
    <e v="#DIV/0!"/>
    <n v="0"/>
    <n v="0"/>
    <n v="0"/>
    <e v="#DIV/0!"/>
    <n v="38800"/>
    <n v="33896"/>
    <n v="33896"/>
    <n v="0.8736082474226804"/>
  </r>
  <r>
    <x v="10"/>
    <x v="0"/>
    <s v="0068-PDN-2015"/>
    <s v="ASOCIACIÃ³N DE GANADEROS AGROPECUARIOS SANTA ROSA DE KAQUIABAMBA"/>
    <s v="MEJORAMIENTO DE LA PRODUCCIÃ“N Y COMERCIALIZACIÃ“N DE LECHE FRESCA"/>
    <s v="AGROINDUSTRIA"/>
    <x v="8"/>
    <x v="0"/>
    <s v="ANDAHUAYLAS"/>
    <s v="KAQUIABAMBA"/>
    <s v="KAQUIABAMBA"/>
    <n v="-13.53239345551"/>
    <n v="-73.288635253910002"/>
    <n v="3117"/>
    <n v="2"/>
    <n v="27"/>
    <n v="10"/>
    <n v="17"/>
    <n v="1"/>
    <n v="4"/>
    <n v="5"/>
    <n v="16"/>
    <n v="9"/>
    <n v="7"/>
    <n v="1"/>
    <n v="2"/>
    <n v="3"/>
    <n v="51400"/>
    <n v="21600"/>
    <n v="0"/>
    <n v="73000"/>
    <s v="Exitoso"/>
    <n v="70"/>
    <n v="28800"/>
    <n v="40000"/>
    <n v="11200"/>
    <n v="0.3888888888888889"/>
    <n v="51840"/>
    <n v="72000"/>
    <n v="20160"/>
    <n v="0.3888888888888889"/>
    <n v="25000"/>
    <n v="35000"/>
    <n v="10000"/>
    <n v="0.4"/>
    <n v="45000"/>
    <n v="63000"/>
    <n v="18000"/>
    <n v="0.4"/>
    <n v="118000"/>
    <n v="43245"/>
    <n v="43245"/>
    <n v="0.36648305084745764"/>
  </r>
  <r>
    <x v="11"/>
    <x v="0"/>
    <s v="0089-PDN-2015"/>
    <s v="ASOCIACION DE PRODUCTORES DE GANADO LECHERO VIRGEN DEL CARMEN - KAQUIABAMBA APROGLEVCAK"/>
    <s v="MEJORAMIENTO DE LA PRODUCCIÃ“N Y COMERCIALIZACIÃ“N DE GANADO VACUNO LECHERO"/>
    <s v="PECUARIO"/>
    <x v="9"/>
    <x v="0"/>
    <s v="ANDAHUAYLAS"/>
    <s v="KAQUIABAMBA"/>
    <s v="KAQUIABAMBA"/>
    <n v="-13.53239345551"/>
    <n v="-73.288635253910002"/>
    <n v="3117"/>
    <n v="2"/>
    <n v="44"/>
    <n v="21"/>
    <n v="23"/>
    <n v="1"/>
    <n v="1"/>
    <n v="2"/>
    <n v="29"/>
    <n v="15"/>
    <n v="14"/>
    <n v="1"/>
    <n v="0"/>
    <n v="1"/>
    <n v="69000"/>
    <n v="29003.33"/>
    <n v="0"/>
    <n v="98003.33"/>
    <s v="Exitoso"/>
    <n v="70.400000000000006"/>
    <n v="45000"/>
    <n v="60000"/>
    <n v="15000"/>
    <n v="0.33333333333333331"/>
    <n v="67500"/>
    <n v="108000"/>
    <n v="40500"/>
    <n v="0.6"/>
    <n v="44000"/>
    <n v="55000"/>
    <n v="11000"/>
    <n v="0.25"/>
    <n v="66000"/>
    <n v="99000"/>
    <n v="33000"/>
    <n v="0.5"/>
    <n v="173650"/>
    <n v="59129"/>
    <n v="59129"/>
    <n v="0.3405067664843075"/>
  </r>
  <r>
    <x v="12"/>
    <x v="0"/>
    <s v="0111-PDN-2015"/>
    <s v="ASOCIACIÓN CIVIL NIÑO JESÚS DE PUYHUALLA CENTRO"/>
    <s v="FORTALECIMIENTO DE LAS CAPACIDADES PARA LA PRODUCCIÃ“N Y COMERCIALIZACIÃ“N DE CUYES"/>
    <s v="PECUARIO"/>
    <x v="6"/>
    <x v="0"/>
    <s v="ANDAHUAYLAS"/>
    <s v="ANDARAPA"/>
    <s v="PUYHUALLA CENTRO"/>
    <n v="-13.55224895477"/>
    <n v="-73.342323303219999"/>
    <n v="3513"/>
    <n v="1"/>
    <n v="23"/>
    <n v="9"/>
    <n v="14"/>
    <n v="1"/>
    <n v="7"/>
    <n v="8"/>
    <n v="15"/>
    <n v="9"/>
    <n v="6"/>
    <n v="1"/>
    <n v="5"/>
    <n v="6"/>
    <n v="30400"/>
    <n v="12600"/>
    <n v="0"/>
    <n v="43037.97"/>
    <s v="Exitoso"/>
    <n v="77.599999999999994"/>
    <n v="790"/>
    <n v="1260"/>
    <n v="470"/>
    <n v="0.59493670886075944"/>
    <n v="11060"/>
    <n v="18900"/>
    <n v="7840"/>
    <n v="0.70886075949367089"/>
    <n v="575"/>
    <n v="625"/>
    <n v="50"/>
    <n v="8.6956521739130432E-2"/>
    <n v="8050"/>
    <n v="9375"/>
    <n v="1325"/>
    <n v="0.16459627329192547"/>
    <n v="51500"/>
    <n v="28005"/>
    <n v="28005"/>
    <n v="0.54378640776699028"/>
  </r>
  <r>
    <x v="13"/>
    <x v="0"/>
    <s v="0112-PDN-2015"/>
    <s v="ASOCIACIÓN DE PRODUCTORES AGROPECUARIOS VALLE DE PULCAY Y PARCCO"/>
    <s v="MEJORAMIENTO DE LA PRODUCCIÃ“N Y COMERCIALIZACIÃ“N DE PROCESAMIENTO DE CAÃ‘A DE AZÃšCAR"/>
    <s v="AGROINDUSTRIA"/>
    <x v="10"/>
    <x v="0"/>
    <s v="CHINCHEROS"/>
    <s v="HUACCANA"/>
    <s v="HUACCANA"/>
    <n v="-13.388096809389999"/>
    <n v="-73.69002532959"/>
    <n v="3082"/>
    <n v="1"/>
    <n v="38"/>
    <n v="27"/>
    <n v="11"/>
    <n v="0"/>
    <n v="0"/>
    <n v="0"/>
    <n v="32"/>
    <n v="27"/>
    <n v="5"/>
    <n v="0"/>
    <n v="0"/>
    <n v="0"/>
    <n v="76100"/>
    <n v="31900"/>
    <n v="0"/>
    <n v="108134.3"/>
    <s v="Exitoso"/>
    <n v="74.8"/>
    <n v="12075"/>
    <n v="14570"/>
    <n v="2495"/>
    <n v="0.20662525879917185"/>
    <n v="36225"/>
    <n v="45167"/>
    <n v="8942"/>
    <n v="0.24684610075914423"/>
    <n v="12075"/>
    <n v="14570"/>
    <n v="2495"/>
    <n v="0.20662525879917185"/>
    <n v="36225"/>
    <n v="45167"/>
    <n v="8942"/>
    <n v="0.24684610075914423"/>
    <n v="125420"/>
    <n v="72100"/>
    <n v="72100"/>
    <n v="0.57486844203476317"/>
  </r>
  <r>
    <x v="14"/>
    <x v="0"/>
    <s v="0113-PDN-2015"/>
    <s v="ASOCIACIÓN DE PRODUCTORES AGROPECUARIOS MICRO CUENCA APU CUCAS DE SAN JUAN TRIBOL APAMCAC"/>
    <s v="FORTALECIMIENTO DE CAPACIDADES PARA LA PRODUCCIÃ“N Y COMERCIALIZACIÃ“N DE GRANOS ANDINOS"/>
    <s v="AGRICOLA"/>
    <x v="11"/>
    <x v="0"/>
    <s v="ANDAHUAYLAS"/>
    <s v="ANDARAPA"/>
    <s v="HUANCAS"/>
    <n v="-13.477033615110001"/>
    <n v="-73.372261047359999"/>
    <n v="3159"/>
    <n v="1"/>
    <n v="26"/>
    <n v="13"/>
    <n v="13"/>
    <n v="1"/>
    <n v="1"/>
    <n v="2"/>
    <n v="12"/>
    <n v="11"/>
    <n v="1"/>
    <n v="1"/>
    <n v="0"/>
    <n v="1"/>
    <n v="37890"/>
    <n v="15877.5"/>
    <n v="0"/>
    <n v="53767.5"/>
    <s v="Exitoso"/>
    <n v="79.3"/>
    <n v="3500"/>
    <n v="5500"/>
    <n v="2000"/>
    <n v="0.5714285714285714"/>
    <n v="15750"/>
    <n v="27500"/>
    <n v="11750"/>
    <n v="0.74603174603174605"/>
    <n v="3000"/>
    <n v="4500"/>
    <n v="1500"/>
    <n v="0.5"/>
    <n v="13500"/>
    <n v="22500"/>
    <n v="9000"/>
    <n v="0.66666666666666663"/>
    <n v="53700"/>
    <n v="35850"/>
    <n v="35850"/>
    <n v="0.66759776536312854"/>
  </r>
  <r>
    <x v="15"/>
    <x v="0"/>
    <s v="0116-PDN-2015"/>
    <s v="ASOCIACIÓN CULTURAL Y PRODUCTIVO ALLIN RURUQ - ACYPAR"/>
    <s v="FORTALECIMIENTO DE LAS CAPACIDADES PARA LA PRODUCCIÃ“N Y COMERCIALIZACIÃ“N DE GRANOS ANDINOS"/>
    <s v="AGRICOLA"/>
    <x v="11"/>
    <x v="0"/>
    <s v="ANDAHUAYLAS"/>
    <s v="ANDARAPA"/>
    <s v="ANDARAPA"/>
    <n v="-13.528211593629999"/>
    <n v="-73.365753173830001"/>
    <n v="2977"/>
    <n v="1"/>
    <n v="17"/>
    <n v="12"/>
    <n v="5"/>
    <n v="0"/>
    <n v="0"/>
    <n v="0"/>
    <n v="15"/>
    <n v="12"/>
    <n v="3"/>
    <n v="0"/>
    <n v="0"/>
    <n v="0"/>
    <n v="36518"/>
    <n v="15222"/>
    <n v="0"/>
    <n v="51740"/>
    <s v="Exitoso"/>
    <n v="79.2"/>
    <n v="4000"/>
    <n v="6000"/>
    <n v="2000"/>
    <n v="0.5"/>
    <n v="16000"/>
    <n v="30000"/>
    <n v="14000"/>
    <n v="0.875"/>
    <n v="4000"/>
    <n v="5500"/>
    <n v="1500"/>
    <n v="0.375"/>
    <n v="16000"/>
    <n v="27500"/>
    <n v="11500"/>
    <n v="0.71875"/>
    <n v="47600"/>
    <n v="29698"/>
    <n v="29698"/>
    <n v="0.62390756302521011"/>
  </r>
  <r>
    <x v="16"/>
    <x v="0"/>
    <s v="0123-PDN-2015"/>
    <s v="COOPERATIVA AGRARIA LOS CHANKAS CAGCH"/>
    <s v="FORTALECIMIENTO DE CAPACIDADES PARA LA PRODUCCIÃ“N Y COMERCIALIZACIÃ“N ORGÃNICA DE LA QUINUA, KIWICHA Y CHIA EN LAS COMUNIDADES DE HUAMPICA, HUANCAS Y CHUSPI CHAMANA"/>
    <s v="PRODUCTOS ORGANICOS"/>
    <x v="12"/>
    <x v="0"/>
    <s v="ANDAHUAYLAS"/>
    <s v="ANDARAPA"/>
    <s v="ANDARAPA"/>
    <n v="-13.528211593629999"/>
    <n v="-73.365753173830001"/>
    <n v="2977"/>
    <n v="1"/>
    <n v="55"/>
    <n v="31"/>
    <n v="24"/>
    <n v="1"/>
    <n v="4"/>
    <n v="5"/>
    <n v="34"/>
    <n v="28"/>
    <n v="6"/>
    <n v="1"/>
    <n v="2"/>
    <n v="3"/>
    <n v="70155"/>
    <n v="29495"/>
    <n v="0"/>
    <n v="99657.75"/>
    <s v="Muy Exitoso"/>
    <n v="81.3"/>
    <n v="94000"/>
    <n v="130880"/>
    <n v="36880"/>
    <n v="0.39234042553191489"/>
    <n v="329000"/>
    <n v="536370"/>
    <n v="207370"/>
    <n v="0.63030395136778117"/>
    <n v="83083"/>
    <n v="116968"/>
    <n v="33885"/>
    <n v="0.40784516688131145"/>
    <n v="290791"/>
    <n v="478273"/>
    <n v="187482"/>
    <n v="0.64473109552909136"/>
    <n v="59700"/>
    <n v="43600"/>
    <n v="43600"/>
    <n v="0.73031825795644889"/>
  </r>
  <r>
    <x v="17"/>
    <x v="0"/>
    <s v="0164-PDN-2015"/>
    <s v="ASOCIACION LOS PRODUCTORES AGROPECUARIOS SEÃ‘OR DE HUANCA CHANTA UMACA"/>
    <s v="MEJORAMIENTO DE LA PRODUCCION Y COMERCIALIZACION DE CERDOS"/>
    <s v="PECUARIO"/>
    <x v="0"/>
    <x v="0"/>
    <s v="ANDAHUAYLAS"/>
    <s v="ANDARAPA"/>
    <s v="ANDARAPA"/>
    <n v="-13.528211593629999"/>
    <n v="-73.365753173830001"/>
    <n v="2977"/>
    <n v="1"/>
    <n v="27"/>
    <n v="14"/>
    <n v="13"/>
    <n v="2"/>
    <n v="3"/>
    <n v="5"/>
    <n v="18"/>
    <n v="14"/>
    <n v="4"/>
    <n v="2"/>
    <n v="0"/>
    <n v="2"/>
    <n v="36700"/>
    <n v="15300"/>
    <n v="0"/>
    <n v="52042.15"/>
    <s v="Exitoso"/>
    <n v="79.599999999999994"/>
    <n v="154"/>
    <n v="214"/>
    <n v="60"/>
    <n v="0.38961038961038963"/>
    <n v="43120"/>
    <n v="64200"/>
    <n v="21080"/>
    <n v="0.48886827458256027"/>
    <n v="50"/>
    <n v="75"/>
    <n v="25"/>
    <n v="0.5"/>
    <n v="14000"/>
    <n v="22500"/>
    <n v="8500"/>
    <n v="0.6071428571428571"/>
    <n v="57600"/>
    <n v="34831"/>
    <n v="34831"/>
    <n v="0.6047048611111111"/>
  </r>
  <r>
    <x v="18"/>
    <x v="0"/>
    <s v="0180-PDN-2015"/>
    <s v="ASOCIACION DE PRODUCTORES AGROPECUARIOS APU CUMO RUMI DE SANTA ROSA DE ILLAHUASI"/>
    <s v="MEJORAMIENTO DEL NIVEL DE PRODUCCION EN LA CRIANZA DE GANADO LECHERO Y SUS DERIVADOS"/>
    <s v="PECUARIO"/>
    <x v="9"/>
    <x v="0"/>
    <s v="ANDAHUAYLAS"/>
    <s v="ANDARAPA"/>
    <s v="ILLAHUASI"/>
    <n v="-13.52559280396"/>
    <n v="-73.343208312990001"/>
    <n v="3355"/>
    <n v="1"/>
    <n v="45"/>
    <n v="24"/>
    <n v="21"/>
    <n v="3"/>
    <n v="3"/>
    <n v="6"/>
    <n v="24"/>
    <n v="14"/>
    <n v="10"/>
    <n v="1"/>
    <n v="2"/>
    <n v="3"/>
    <n v="40900"/>
    <n v="17100"/>
    <n v="0"/>
    <n v="58000"/>
    <s v="Exitoso"/>
    <n v="75.7"/>
    <n v="500"/>
    <n v="720"/>
    <n v="220"/>
    <n v="0.44"/>
    <n v="5000"/>
    <n v="7920"/>
    <n v="2920"/>
    <n v="0.58399999999999996"/>
    <n v="450"/>
    <n v="600"/>
    <n v="150"/>
    <n v="0.33333333333333331"/>
    <n v="4500"/>
    <n v="6600"/>
    <n v="2100"/>
    <n v="0.46666666666666667"/>
    <n v="71800"/>
    <n v="37500"/>
    <n v="37500"/>
    <n v="0.52228412256267409"/>
  </r>
  <r>
    <x v="19"/>
    <x v="0"/>
    <s v="0181-PDN-2015"/>
    <s v="ASOCIACION CIVIL DE ILLAHUASI"/>
    <s v="MEJORAMIENTO DE LA PRODUCCION Y COMERCIALIZACION DE CUYES"/>
    <s v="PECUARIO"/>
    <x v="6"/>
    <x v="0"/>
    <s v="ANDAHUAYLAS"/>
    <s v="ANDARAPA"/>
    <s v="ILLAHUASI"/>
    <n v="-13.52559280396"/>
    <n v="-73.343208312990001"/>
    <n v="3355"/>
    <n v="1"/>
    <n v="34"/>
    <n v="18"/>
    <n v="16"/>
    <n v="5"/>
    <n v="5"/>
    <n v="10"/>
    <n v="17"/>
    <n v="17"/>
    <n v="0"/>
    <n v="4"/>
    <n v="0"/>
    <n v="4"/>
    <n v="38800"/>
    <n v="16200"/>
    <n v="0"/>
    <n v="55000"/>
    <s v="Exitoso"/>
    <n v="79.5"/>
    <n v="400"/>
    <n v="600"/>
    <n v="200"/>
    <n v="0.5"/>
    <n v="4800"/>
    <n v="8400"/>
    <n v="3600"/>
    <n v="0.75"/>
    <n v="340"/>
    <n v="450"/>
    <n v="110"/>
    <n v="0.3235294117647059"/>
    <n v="4080"/>
    <n v="6300"/>
    <n v="2220"/>
    <n v="0.54411764705882348"/>
    <n v="51850"/>
    <n v="36049"/>
    <n v="36049"/>
    <n v="0.69525554484088714"/>
  </r>
  <r>
    <x v="20"/>
    <x v="0"/>
    <s v="0185-PDN-2015"/>
    <s v="ASOCIACION DE PRODUCTORES AGROPECUARIOS TRES DE MAYO DE CCAYHUAYOCC"/>
    <s v="FORTALECIMIENTO DE LAS CAPACIDADES PARA LA PRODUCCIÃ“N Y COMERCIALIZACIÃ“N DE GANADO OVINO"/>
    <s v="PECUARIO"/>
    <x v="13"/>
    <x v="0"/>
    <s v="ANDAHUAYLAS"/>
    <s v="ANDARAPA"/>
    <s v="CAYHUAYOC"/>
    <n v="-13.533082008359999"/>
    <n v="-73.369941711430002"/>
    <n v="2886"/>
    <n v="1"/>
    <n v="40"/>
    <n v="18"/>
    <n v="22"/>
    <n v="4"/>
    <n v="1"/>
    <n v="5"/>
    <n v="26"/>
    <n v="17"/>
    <n v="9"/>
    <n v="3"/>
    <n v="0"/>
    <n v="3"/>
    <n v="35300"/>
    <n v="14721"/>
    <n v="0"/>
    <n v="50021"/>
    <s v="Exitoso"/>
    <n v="74"/>
    <n v="780"/>
    <n v="1260"/>
    <n v="480"/>
    <n v="0.61538461538461542"/>
    <n v="1170"/>
    <n v="2100"/>
    <n v="930"/>
    <n v="0.79487179487179482"/>
    <n v="240"/>
    <n v="300"/>
    <n v="60"/>
    <n v="0.25"/>
    <n v="360"/>
    <n v="500"/>
    <n v="140"/>
    <n v="0.3888888888888889"/>
    <n v="97000"/>
    <n v="29417"/>
    <n v="29417"/>
    <n v="0.30326804123711343"/>
  </r>
  <r>
    <x v="21"/>
    <x v="0"/>
    <s v="0186-PDN-2015"/>
    <s v="ASOCIACIÓN DE PRODUCTORES AGROPECUARIOS Y CIVIL NUEVO HORIZONTE DE COTABAMBA"/>
    <s v="MEJORAMIENTO DE PRODUCCION DE LA CRIANZA DE GANADO VACUNO LECHERO Y LA COMERCIALIZACIÃ“N DE DERIVADOS LÃCTEOS"/>
    <s v="PECUARIO"/>
    <x v="9"/>
    <x v="0"/>
    <s v="ANDAHUAYLAS"/>
    <s v="ANDARAPA"/>
    <s v="COTABAMBA"/>
    <n v="-13.53894615173"/>
    <n v="-73.358070373540002"/>
    <n v="3238"/>
    <n v="1"/>
    <n v="33"/>
    <n v="15"/>
    <n v="18"/>
    <n v="1"/>
    <n v="2"/>
    <n v="3"/>
    <n v="19"/>
    <n v="14"/>
    <n v="5"/>
    <n v="1"/>
    <n v="0"/>
    <n v="1"/>
    <n v="45800"/>
    <n v="19200"/>
    <n v="0"/>
    <n v="65010.54"/>
    <s v="Exitoso"/>
    <n v="78.7"/>
    <n v="1440"/>
    <n v="2480"/>
    <n v="1040"/>
    <n v="0.72222222222222221"/>
    <n v="7680"/>
    <n v="14720"/>
    <n v="7040"/>
    <n v="0.91666666666666663"/>
    <n v="1440"/>
    <n v="1900"/>
    <n v="460"/>
    <n v="0.31944444444444442"/>
    <n v="7680"/>
    <n v="11600"/>
    <n v="3920"/>
    <n v="0.51041666666666663"/>
    <n v="59500"/>
    <n v="37710"/>
    <n v="37710"/>
    <n v="0.63378151260504201"/>
  </r>
  <r>
    <x v="22"/>
    <x v="0"/>
    <s v="0200-PDN-2015"/>
    <s v="ASOCIACION DE PRODUCTORES AGROPECUARIOS MOLIDOS THALIA"/>
    <s v="MEJORAMIENTO DE LA PRODUCCION Y COMERCIALIZACION DE HARINAS"/>
    <s v="AGROINDUSTRIA"/>
    <x v="10"/>
    <x v="0"/>
    <s v="ANDAHUAYLAS"/>
    <s v="ANDARAPA"/>
    <s v="ANDARAPA"/>
    <n v="-13.528211593629999"/>
    <n v="-73.365753173830001"/>
    <n v="2977"/>
    <n v="1"/>
    <n v="14"/>
    <n v="4"/>
    <n v="10"/>
    <n v="0"/>
    <n v="2"/>
    <n v="2"/>
    <n v="11"/>
    <n v="2"/>
    <n v="9"/>
    <n v="0"/>
    <n v="2"/>
    <n v="2"/>
    <n v="38800"/>
    <n v="16200"/>
    <n v="0"/>
    <n v="55035.79"/>
    <s v="Exitoso"/>
    <n v="73.7"/>
    <n v="7500"/>
    <n v="10500"/>
    <n v="3000"/>
    <n v="0.4"/>
    <n v="37500"/>
    <n v="52500"/>
    <n v="15000"/>
    <n v="0.4"/>
    <n v="7250"/>
    <n v="10250"/>
    <n v="3000"/>
    <n v="0.41379310344827586"/>
    <n v="36250"/>
    <n v="51250"/>
    <n v="15000"/>
    <n v="0.41379310344827586"/>
    <n v="65000"/>
    <n v="36350"/>
    <n v="36350"/>
    <n v="0.5592307692307692"/>
  </r>
  <r>
    <x v="23"/>
    <x v="2"/>
    <s v="0209-PDNC-2015"/>
    <s v="ASOCIACION DE PRODUCTORES AGROPECUARIOS VALLE DE COCAS - HUAMPICA"/>
    <s v="FORTALECIMIENTO DE CAPACIDADES EN DERIVADOS DE KIWICHA"/>
    <s v="AGROINDUSTRIA"/>
    <x v="10"/>
    <x v="0"/>
    <s v="ANDAHUAYLAS"/>
    <s v="ANDARAPA"/>
    <s v="HUAMPICA"/>
    <n v="-13.50648117065"/>
    <n v="-73.437934875490001"/>
    <n v="2641"/>
    <n v="1"/>
    <n v="17"/>
    <n v="10"/>
    <n v="7"/>
    <n v="2"/>
    <n v="0"/>
    <n v="2"/>
    <n v="13"/>
    <n v="10"/>
    <n v="3"/>
    <n v="2"/>
    <n v="0"/>
    <n v="2"/>
    <n v="35000"/>
    <n v="15000"/>
    <n v="0"/>
    <n v="50003.4"/>
    <s v="Exitoso"/>
    <n v="79.599999999999994"/>
    <n v="12500"/>
    <n v="15000"/>
    <n v="2500"/>
    <n v="0.2"/>
    <n v="43750"/>
    <n v="60000"/>
    <n v="16250"/>
    <n v="0.37142857142857144"/>
    <n v="12000"/>
    <n v="14000"/>
    <n v="2000"/>
    <n v="0.16666666666666666"/>
    <n v="42000"/>
    <n v="56000"/>
    <n v="14000"/>
    <n v="0.33333333333333331"/>
    <n v="47000"/>
    <n v="32900"/>
    <n v="32900"/>
    <n v="0.7"/>
  </r>
  <r>
    <x v="24"/>
    <x v="1"/>
    <s v="0009-PDT-2015"/>
    <s v="COMUNIDAD CAMPESINA SANTA CRUZ DE MILPO"/>
    <s v="FORTALECIMIENTO DE CAPACIDADES TECNICO PRODUCTIVAS EN LA CRIANZA Y MANEJO DE GANADO OVINO EN LA COMUNIDAD CAMPESINA DE SANTA CRUZ DE MILPO, DISTRITO DE CHINCHIHUASI, PROVINCIA DE CHURCAMPA, REGIÃ“N DE HUANCAVELICA"/>
    <s v="PRODUCCION Y PRODUCTIVIDAD"/>
    <x v="14"/>
    <x v="1"/>
    <s v="CHURCAMPA"/>
    <s v="CHINCHIHUASI"/>
    <s v="MILPO"/>
    <n v="-12.489610672"/>
    <n v="-74.62223815918"/>
    <n v="3926"/>
    <n v="1"/>
    <n v="44"/>
    <n v="24"/>
    <n v="20"/>
    <n v="2"/>
    <n v="4"/>
    <n v="6"/>
    <n v="43"/>
    <n v="24"/>
    <n v="19"/>
    <n v="2"/>
    <n v="4"/>
    <n v="6"/>
    <n v="39440"/>
    <n v="0"/>
    <n v="9360"/>
    <n v="48888.14"/>
    <s v="Exitoso"/>
    <n v="77"/>
    <n v="0"/>
    <n v="0"/>
    <n v="0"/>
    <e v="#DIV/0!"/>
    <n v="0"/>
    <n v="0"/>
    <n v="0"/>
    <e v="#DIV/0!"/>
    <n v="0"/>
    <n v="0"/>
    <n v="0"/>
    <e v="#DIV/0!"/>
    <n v="0"/>
    <n v="0"/>
    <n v="0"/>
    <e v="#DIV/0!"/>
    <n v="69950"/>
    <n v="36120"/>
    <n v="36120"/>
    <n v="0.51636883488205865"/>
  </r>
  <r>
    <x v="25"/>
    <x v="2"/>
    <s v="0012-PDNC-2015"/>
    <s v="ASOCIACION DE PRODUCTORES AGROPECUARIOS E INDUSTRIALES NUEVO AMANECER DEL PERU"/>
    <s v="FORTALECIMIENTO DEL MANEJO DE ENGORDE Y COMERCIALIZACIÃ“N DE GANADO VACUNO"/>
    <s v="PECUARIO"/>
    <x v="9"/>
    <x v="1"/>
    <s v="TAYACAJA"/>
    <s v="HUARIBAMBA"/>
    <s v="TAPO/TAPU"/>
    <n v="-12.26311206818"/>
    <n v="-74.96979522705"/>
    <n v="3361"/>
    <n v="1"/>
    <n v="14"/>
    <n v="9"/>
    <n v="5"/>
    <n v="1"/>
    <n v="2"/>
    <n v="3"/>
    <n v="14"/>
    <n v="9"/>
    <n v="5"/>
    <n v="1"/>
    <n v="2"/>
    <n v="3"/>
    <n v="35000"/>
    <n v="15000"/>
    <n v="0"/>
    <n v="50216.1"/>
    <s v="Muy Exitoso"/>
    <n v="82"/>
    <n v="12"/>
    <n v="18"/>
    <n v="6"/>
    <n v="0.5"/>
    <n v="25200"/>
    <n v="46800"/>
    <n v="21600"/>
    <n v="0.8571428571428571"/>
    <n v="12"/>
    <n v="18"/>
    <n v="6"/>
    <n v="0.5"/>
    <n v="25200"/>
    <n v="46800"/>
    <n v="21600"/>
    <n v="0.8571428571428571"/>
    <n v="42800"/>
    <n v="33852"/>
    <n v="33852"/>
    <n v="0.79093457943925238"/>
  </r>
  <r>
    <x v="26"/>
    <x v="1"/>
    <s v="0017-PDT-2015"/>
    <s v="COMUNIDAD CAMPESINA DE VISTA ALEGRE"/>
    <s v="FORTALECIMIENTO DE CAPACIDADES PRODUCTIVAS DE CAMPO SEMILLERO DE PAPA NATIVA Y CRIANZA DE CUYES PARA LA SEGURIDAD ALIMENTARIA EN LA COMUNIDAD CAMPESINA DE VISTA ALEGRE, DISTRITO DE PAZOS, PROVINCIA DE TAYACAJA, REGION HUANCAVELICA"/>
    <s v="SEGURIDAD ALIMENTARIA"/>
    <x v="15"/>
    <x v="1"/>
    <s v="TAYACAJA"/>
    <s v="PAZOS"/>
    <s v="VISTA ALEGRE"/>
    <n v="-12.279049873350001"/>
    <n v="-75.064018249509999"/>
    <n v="3859"/>
    <n v="1"/>
    <n v="39"/>
    <n v="24"/>
    <n v="15"/>
    <n v="5"/>
    <n v="2"/>
    <n v="7"/>
    <n v="39"/>
    <n v="24"/>
    <n v="15"/>
    <n v="5"/>
    <n v="2"/>
    <n v="7"/>
    <n v="39440"/>
    <n v="0"/>
    <n v="9360"/>
    <n v="48989.33"/>
    <s v="Muy Exitoso"/>
    <n v="88.5"/>
    <n v="0"/>
    <n v="0"/>
    <n v="0"/>
    <e v="#DIV/0!"/>
    <n v="0"/>
    <n v="0"/>
    <n v="0"/>
    <e v="#DIV/0!"/>
    <n v="0"/>
    <n v="0"/>
    <n v="0"/>
    <e v="#DIV/0!"/>
    <n v="0"/>
    <n v="0"/>
    <n v="0"/>
    <e v="#DIV/0!"/>
    <n v="17568"/>
    <n v="14130"/>
    <n v="14130"/>
    <n v="0.80430327868852458"/>
  </r>
  <r>
    <x v="27"/>
    <x v="1"/>
    <s v="0018-PDT-2015"/>
    <s v="COMUNIDAD CAMPESINA SAN JUAN DE CHILCAPATA"/>
    <s v="FORTALECIMIENTO DE CAPACIDADES EN EL MEJOR MANEJO DE LOS RECURSOS NATURALES E INSTALACIONES DE RIEGO TECNIFICADO EN LA COMUNIDAD CAMPESINA DE SAN JUAN DE CHILCAPATA, DISTRITO DE CHINCHIHUASI, PROVINCIA DE CHURCAMPA, REGIÃ“N DE HUANCAVELICA"/>
    <s v="MANEJO DE LOS RECURSOS NATURALES"/>
    <x v="16"/>
    <x v="1"/>
    <s v="CHURCAMPA"/>
    <s v="CHINCHIHUASI"/>
    <s v="SAN JUAN DE CHILCAPATA"/>
    <n v="-12.51904964447"/>
    <n v="-74.576667785639998"/>
    <n v="3538"/>
    <n v="1"/>
    <n v="40"/>
    <n v="33"/>
    <n v="7"/>
    <n v="3"/>
    <n v="1"/>
    <n v="4"/>
    <n v="40"/>
    <n v="33"/>
    <n v="7"/>
    <n v="3"/>
    <n v="1"/>
    <n v="4"/>
    <n v="39440"/>
    <n v="0"/>
    <n v="9360"/>
    <n v="48897.25"/>
    <s v="Exitoso"/>
    <n v="75.900000000000006"/>
    <n v="0"/>
    <n v="0"/>
    <n v="0"/>
    <e v="#DIV/0!"/>
    <n v="0"/>
    <n v="0"/>
    <n v="0"/>
    <e v="#DIV/0!"/>
    <n v="0"/>
    <n v="0"/>
    <n v="0"/>
    <e v="#DIV/0!"/>
    <n v="0"/>
    <n v="0"/>
    <n v="0"/>
    <e v="#DIV/0!"/>
    <n v="47500"/>
    <n v="33160"/>
    <n v="33160"/>
    <n v="0.69810526315789478"/>
  </r>
  <r>
    <x v="28"/>
    <x v="2"/>
    <s v="0021-PDNC-2015"/>
    <s v="ASOCIACION DE PRODUCTORES AGROPECUARIOS GANACCUNA DE ANTIPHUASIN"/>
    <s v="MEJORAMIENTO DE PRODUCCION Y COMERCIALIZACION DE MAIZ CARHUAY"/>
    <s v="AGRICOLA"/>
    <x v="11"/>
    <x v="1"/>
    <s v="TAYACAJA"/>
    <s v="HUARIBAMBA"/>
    <s v="ANTIPAHUASIN"/>
    <n v="-12.20404338837"/>
    <n v="-74.956016540530001"/>
    <n v="3260"/>
    <n v="1"/>
    <n v="14"/>
    <n v="12"/>
    <n v="2"/>
    <n v="1"/>
    <n v="0"/>
    <n v="1"/>
    <n v="14"/>
    <n v="12"/>
    <n v="2"/>
    <n v="1"/>
    <n v="0"/>
    <n v="1"/>
    <n v="35000"/>
    <n v="15000"/>
    <n v="0"/>
    <n v="50088.6"/>
    <s v="Exitoso"/>
    <n v="79.599999999999994"/>
    <n v="4540"/>
    <n v="7865"/>
    <n v="3325"/>
    <n v="0.73237885462555063"/>
    <n v="11350"/>
    <n v="23595"/>
    <n v="12245"/>
    <n v="1.0788546255506608"/>
    <n v="3435"/>
    <n v="6682"/>
    <n v="3247"/>
    <n v="0.9452692867540029"/>
    <n v="8588"/>
    <n v="20046"/>
    <n v="11459"/>
    <n v="1.3341872380065207"/>
    <n v="4850"/>
    <n v="16480"/>
    <n v="16480"/>
    <n v="3.3979381443298968"/>
  </r>
  <r>
    <x v="29"/>
    <x v="2"/>
    <s v="0024-PDNC-2015"/>
    <s v="ASOCIACION DE PRODUCTORES AGROPECUARIOS BARRIO CENTRO DE PICHOS"/>
    <s v="MEJORAMIENTO DE LA PRODUCCION Y COMERCIALIZACION DE MAIZ AMILACEO"/>
    <s v="AGRICOLA"/>
    <x v="11"/>
    <x v="1"/>
    <s v="TAYACAJA"/>
    <s v="HUARIBAMBA"/>
    <s v="PICHUS"/>
    <n v="-12.23454380035"/>
    <n v="-74.939254760739999"/>
    <n v="3273"/>
    <n v="1"/>
    <n v="16"/>
    <n v="16"/>
    <n v="0"/>
    <n v="0"/>
    <n v="0"/>
    <n v="0"/>
    <n v="12"/>
    <n v="12"/>
    <n v="0"/>
    <n v="0"/>
    <n v="0"/>
    <n v="0"/>
    <n v="35000"/>
    <n v="15000"/>
    <n v="0"/>
    <n v="50091.3"/>
    <s v="Exitoso"/>
    <n v="78.5"/>
    <n v="3000"/>
    <n v="3500"/>
    <n v="500"/>
    <n v="0.16666666666666666"/>
    <n v="7500"/>
    <n v="10500"/>
    <n v="3000"/>
    <n v="0.4"/>
    <n v="2300"/>
    <n v="2800"/>
    <n v="500"/>
    <n v="0.21739130434782608"/>
    <n v="5750"/>
    <n v="8400"/>
    <n v="2650"/>
    <n v="0.46086956521739131"/>
    <n v="28500"/>
    <n v="19770"/>
    <n v="19770"/>
    <n v="0.69368421052631579"/>
  </r>
  <r>
    <x v="30"/>
    <x v="1"/>
    <s v="0025-PDT-2015"/>
    <s v="COMUNIDAD CAMPESINA DE TUPAC AMARU DE PISCOS"/>
    <s v="FORTALECIMIENTO DE CAPACIDADES PARA LA CRIANZA DE CUYES EN EL ANEXO DE TÃšPAC AMARU DE PISCOS, DE LA COMUNIDAD CAMPESINA DE TÃšPAC AMARU DE PISCOS CONSTANZA - SACHARACCAY, DISTRITO DE SAN PEDRO DE CORIS, PROVINCIA DE CHURCAMPA, REGIÃ“N HUANCAVELICA"/>
    <s v="PRODUCCION Y PRODUCTIVIDAD"/>
    <x v="17"/>
    <x v="1"/>
    <s v="CHURCAMPA"/>
    <s v="SAN PEDRO DE CORIS"/>
    <s v="TUPAC AMARU DE PISCOS"/>
    <n v="-12.58676815033"/>
    <n v="-74.468658447270002"/>
    <n v="3730"/>
    <n v="2"/>
    <n v="41"/>
    <n v="22"/>
    <n v="19"/>
    <n v="4"/>
    <n v="6"/>
    <n v="10"/>
    <n v="41"/>
    <n v="22"/>
    <n v="19"/>
    <n v="4"/>
    <n v="6"/>
    <n v="10"/>
    <n v="39440"/>
    <n v="0.5"/>
    <n v="9360"/>
    <n v="48973.1"/>
    <s v="Poco Exitoso"/>
    <n v="68.7"/>
    <n v="0"/>
    <n v="0"/>
    <n v="0"/>
    <e v="#DIV/0!"/>
    <n v="0"/>
    <n v="0"/>
    <n v="0"/>
    <e v="#DIV/0!"/>
    <n v="0"/>
    <n v="0"/>
    <n v="0"/>
    <e v="#DIV/0!"/>
    <n v="0"/>
    <n v="0"/>
    <n v="0"/>
    <e v="#DIV/0!"/>
    <n v="92425"/>
    <n v="38509"/>
    <n v="38509"/>
    <n v="0.41665133892345146"/>
  </r>
  <r>
    <x v="31"/>
    <x v="1"/>
    <s v="0026-PDT-2015"/>
    <s v="COMUNIDAD CAMPESINA OXAPATA"/>
    <s v="FORTALECIMIENTO DE CAPACIDADES TÃ‰CNICO PRODUCTIVAS EN LA CRIANZA Y MANEJO DE GANADO OVINO EN LA COMUNIDAD CAMPESINA DE OXAPATA, DISTRITO DE SAN PEDRO DE CORIS, PROVINCIA DE CHURCAMPA, REGIÃ“N HUANCAVELICA"/>
    <s v="PRODUCCION Y PRODUCTIVIDAD"/>
    <x v="14"/>
    <x v="1"/>
    <s v="CHURCAMPA"/>
    <s v="SAN PEDRO DE CORIS"/>
    <s v="OXAPATA"/>
    <n v="-12.61434745789"/>
    <n v="-74.48201751709"/>
    <n v="3946"/>
    <n v="2"/>
    <n v="46"/>
    <n v="33"/>
    <n v="13"/>
    <n v="5"/>
    <n v="3"/>
    <n v="8"/>
    <n v="43"/>
    <n v="33"/>
    <n v="10"/>
    <n v="5"/>
    <n v="2"/>
    <n v="7"/>
    <n v="39440"/>
    <n v="22"/>
    <n v="9360"/>
    <n v="48909.01"/>
    <s v="Exitoso"/>
    <n v="76.7"/>
    <n v="0"/>
    <n v="0"/>
    <n v="0"/>
    <e v="#DIV/0!"/>
    <n v="0"/>
    <n v="0"/>
    <n v="0"/>
    <e v="#DIV/0!"/>
    <n v="0"/>
    <n v="0"/>
    <n v="0"/>
    <e v="#DIV/0!"/>
    <n v="0"/>
    <n v="0"/>
    <n v="0"/>
    <e v="#DIV/0!"/>
    <n v="71550"/>
    <n v="36200"/>
    <n v="36200"/>
    <n v="0.50593990216631723"/>
  </r>
  <r>
    <x v="32"/>
    <x v="0"/>
    <s v="0029-PDN-2015"/>
    <s v="ASOCIACION DE PRODUCTORES AGROPECUARIOS NUEVO AMANECER DE PARIAC"/>
    <s v="MEJORAMIENTO DE LA PRODUCCIÃ“N Y COMERCIALIZACIÃ“N DE LA PAPA NATIVA CON VALOR AGREGADO"/>
    <s v="AGRICOLA"/>
    <x v="1"/>
    <x v="1"/>
    <s v="TAYACAJA"/>
    <s v="HUARIBAMBA"/>
    <s v="PARIAC"/>
    <n v="-12.23071956635"/>
    <n v="-74.90517425537"/>
    <n v="3362"/>
    <n v="1"/>
    <n v="34"/>
    <n v="25"/>
    <n v="9"/>
    <n v="7"/>
    <n v="4"/>
    <n v="11"/>
    <n v="26"/>
    <n v="21"/>
    <n v="5"/>
    <n v="7"/>
    <n v="2"/>
    <n v="9"/>
    <n v="42300"/>
    <n v="18004"/>
    <n v="0"/>
    <n v="60504.53"/>
    <s v="Exitoso"/>
    <n v="70"/>
    <n v="40000"/>
    <n v="100000"/>
    <n v="60000"/>
    <n v="1.5"/>
    <n v="40000"/>
    <n v="120000"/>
    <n v="80000"/>
    <n v="2"/>
    <n v="35000"/>
    <n v="100000"/>
    <n v="65000"/>
    <n v="1.8571428571428572"/>
    <n v="35000"/>
    <n v="120000"/>
    <n v="85000"/>
    <n v="2.4285714285714284"/>
    <n v="31750"/>
    <n v="31700"/>
    <n v="31700"/>
    <n v="0.99842519685039366"/>
  </r>
  <r>
    <x v="33"/>
    <x v="1"/>
    <s v="0034-PDT-2015"/>
    <s v="COMUNIDAD CAMPESINA DE CHUQUITAMBO"/>
    <s v="FORTALECIMIENTO DE LA SEGURIDAD ALIMENTARIA MEDIANTE EL APROVECHAMIENTO DEL DERIVADO DE LA PAPA, EN LA COMUNIDAD CAMPESINA DE CHUQUITAMBO, DISTRITO DE PAZOS, PROVINCIA DE TAYACAJA, REGIÃ“N HUANCAVELICA"/>
    <s v="SEGURIDAD ALIMENTARIA"/>
    <x v="18"/>
    <x v="1"/>
    <s v="TAYACAJA"/>
    <s v="PAZOS"/>
    <s v="CHUQUITAMBO"/>
    <n v="-12.26974105835"/>
    <n v="-75.085731506350001"/>
    <n v="3933"/>
    <n v="1"/>
    <n v="52"/>
    <n v="37"/>
    <n v="15"/>
    <n v="5"/>
    <n v="0"/>
    <n v="5"/>
    <n v="52"/>
    <n v="37"/>
    <n v="15"/>
    <n v="5"/>
    <n v="0"/>
    <n v="5"/>
    <n v="39440"/>
    <n v="0"/>
    <n v="9360"/>
    <n v="48989.18"/>
    <s v="Exitoso"/>
    <n v="76.8"/>
    <n v="0"/>
    <n v="0"/>
    <n v="0"/>
    <e v="#DIV/0!"/>
    <n v="0"/>
    <n v="0"/>
    <n v="0"/>
    <e v="#DIV/0!"/>
    <n v="0"/>
    <n v="0"/>
    <n v="0"/>
    <e v="#DIV/0!"/>
    <n v="0"/>
    <n v="0"/>
    <n v="0"/>
    <e v="#DIV/0!"/>
    <n v="34000"/>
    <n v="29780"/>
    <n v="29780"/>
    <n v="0.87588235294117645"/>
  </r>
  <r>
    <x v="34"/>
    <x v="1"/>
    <s v="0039-PDT-2015"/>
    <s v="COMUNIDAD CAMPESINA DE TONGOS"/>
    <s v="FORTALECIMIENTO DE CAPACIDADES PARA EL APROVECHAMIENTO DEL RECURSO HÃDRICO A TRAVÃ‰S DE LA CRIANZA DE TRUCHAS EN LA COMUNIDAD CAMPESINA DE TONGOS, DISTRITO DE PAZOS, PROVINCIA DE TAYACAJA, REGIÃ“N HUANCAVELICA"/>
    <s v="MANEJO DE LOS RECURSOS NATURALES"/>
    <x v="19"/>
    <x v="1"/>
    <s v="TAYACAJA"/>
    <s v="PAZOS"/>
    <s v="TONGOS"/>
    <n v="-12.29960441589"/>
    <n v="-75.003311157230002"/>
    <n v="3650"/>
    <n v="1"/>
    <n v="60"/>
    <n v="44"/>
    <n v="16"/>
    <n v="5"/>
    <n v="6"/>
    <n v="11"/>
    <n v="60"/>
    <n v="44"/>
    <n v="16"/>
    <n v="5"/>
    <n v="6"/>
    <n v="11"/>
    <n v="39440"/>
    <n v="0"/>
    <n v="9360"/>
    <n v="48981.13"/>
    <s v="Poco Exitoso"/>
    <n v="69"/>
    <n v="0"/>
    <n v="0"/>
    <n v="0"/>
    <e v="#DIV/0!"/>
    <n v="0"/>
    <n v="0"/>
    <n v="0"/>
    <e v="#DIV/0!"/>
    <n v="0"/>
    <n v="0"/>
    <n v="0"/>
    <e v="#DIV/0!"/>
    <n v="0"/>
    <n v="0"/>
    <n v="0"/>
    <e v="#DIV/0!"/>
    <n v="30000"/>
    <n v="22530"/>
    <n v="22530"/>
    <n v="0.751"/>
  </r>
  <r>
    <x v="35"/>
    <x v="1"/>
    <s v="0044-PDT-2015"/>
    <s v="COMUNIDAD CAMPESINA DE ILLPE JAMPATO PATIBAMBA"/>
    <s v="FORTALECIMIENTO DE CAPACIDADES PARA EL MANEJO DEL SISTEMA DE RIEGO TECNIFICADO EN EL ANEXO DE PATIBAMBA DE LA COMUNIDAD CAMPESINA DE ILLPE JAMPATO PATIBAMBA, DISTRITO DE PACHAMARCA, PROVINCIA DE CHURCAMPA, REGIÃ“N HUANCAVELICA"/>
    <s v="MANEJO DE LOS RECURSOS NATURALES"/>
    <x v="16"/>
    <x v="1"/>
    <s v="CHURCAMPA"/>
    <s v="PACHAMARCA"/>
    <s v="PATIBAMBA"/>
    <n v="-12.55037021637"/>
    <n v="-74.419921875"/>
    <n v="2886"/>
    <n v="1"/>
    <n v="40"/>
    <n v="18"/>
    <n v="22"/>
    <n v="2"/>
    <n v="2"/>
    <n v="4"/>
    <n v="40"/>
    <n v="18"/>
    <n v="22"/>
    <n v="2"/>
    <n v="2"/>
    <n v="4"/>
    <n v="39440"/>
    <n v="20.5"/>
    <n v="9360"/>
    <n v="48996.17"/>
    <s v="Exitoso"/>
    <n v="79"/>
    <n v="0"/>
    <n v="0"/>
    <n v="0"/>
    <e v="#DIV/0!"/>
    <n v="0"/>
    <n v="0"/>
    <n v="0"/>
    <e v="#DIV/0!"/>
    <n v="0"/>
    <n v="0"/>
    <n v="0"/>
    <e v="#DIV/0!"/>
    <n v="0"/>
    <n v="0"/>
    <n v="0"/>
    <e v="#DIV/0!"/>
    <n v="62000"/>
    <n v="34460"/>
    <n v="34460"/>
    <n v="0.55580645161290321"/>
  </r>
  <r>
    <x v="36"/>
    <x v="1"/>
    <s v="0045-PDT-2015"/>
    <s v="COMUNIDAD CAMPESINA SAN PEDRO DE CORIS"/>
    <s v="FORTALECIMIENTO DE CAPACIDADES PARA EL MANEJO Y CONSERVACIÃ“N DE RECURSOS FORESTALES EN LA COMUNIDAD CAMPESINA DE SAN PEDRO DE CORIS"/>
    <s v="MANEJO DE LOS RECURSOS NATURALES"/>
    <x v="20"/>
    <x v="1"/>
    <s v="CHURCAMPA"/>
    <s v="SAN PEDRO DE CORIS"/>
    <s v="SAN PEDRO DE CORIS"/>
    <n v="-12.578148841859999"/>
    <n v="-74.411750793460001"/>
    <n v="3562"/>
    <n v="2"/>
    <n v="42"/>
    <n v="19"/>
    <n v="23"/>
    <n v="2"/>
    <n v="2"/>
    <n v="4"/>
    <n v="42"/>
    <n v="19"/>
    <n v="23"/>
    <n v="2"/>
    <n v="2"/>
    <n v="4"/>
    <n v="39440"/>
    <n v="0"/>
    <n v="9360"/>
    <n v="48978.55"/>
    <s v="Poco Exitoso"/>
    <n v="65.2"/>
    <n v="0"/>
    <n v="0"/>
    <n v="0"/>
    <e v="#DIV/0!"/>
    <n v="0"/>
    <n v="0"/>
    <n v="0"/>
    <e v="#DIV/0!"/>
    <n v="0"/>
    <n v="0"/>
    <n v="0"/>
    <e v="#DIV/0!"/>
    <n v="0"/>
    <n v="0"/>
    <n v="0"/>
    <e v="#DIV/0!"/>
    <n v="59800"/>
    <n v="40110"/>
    <n v="40110"/>
    <n v="0.67073578595317729"/>
  </r>
  <r>
    <x v="37"/>
    <x v="0"/>
    <s v="0049-PDN-2015"/>
    <s v="ASOCIACION DE PRODUCTORES AGROPECUARIOS CHANCHAS-MANTACRA"/>
    <s v="MEJORAMIENTO Y COMERCIALIZACIÃ“N DE FRUTALES ANDINOS USANDO TECNOLOGÃA ORGÃNICA Y CUBRIR MERCADOS LOCALES"/>
    <s v="AGRICOLA"/>
    <x v="21"/>
    <x v="1"/>
    <s v="TAYACAJA"/>
    <s v="PAMPAS"/>
    <s v="MANTACRA"/>
    <n v="-12.49867725372"/>
    <n v="-74.828247070309999"/>
    <n v="2733"/>
    <n v="2"/>
    <n v="25"/>
    <n v="14"/>
    <n v="11"/>
    <n v="2"/>
    <n v="4"/>
    <n v="6"/>
    <n v="20"/>
    <n v="12"/>
    <n v="8"/>
    <n v="2"/>
    <n v="4"/>
    <n v="6"/>
    <n v="61300"/>
    <n v="25700"/>
    <n v="0"/>
    <n v="87361.94"/>
    <s v="Poco Exitoso"/>
    <n v="58.5"/>
    <n v="3800"/>
    <n v="6200"/>
    <n v="2400"/>
    <n v="0.63157894736842102"/>
    <n v="9500"/>
    <n v="18600"/>
    <n v="9100"/>
    <n v="0.95789473684210524"/>
    <n v="3780"/>
    <n v="6184"/>
    <n v="2404"/>
    <n v="0.63597883597883598"/>
    <n v="9450"/>
    <n v="18552"/>
    <n v="9102"/>
    <n v="0.96317460317460313"/>
    <n v="83820"/>
    <n v="57449"/>
    <n v="57449"/>
    <n v="0.68538534955857788"/>
  </r>
  <r>
    <x v="38"/>
    <x v="1"/>
    <s v="0053-PDT-2015"/>
    <s v="COMUNIDAD CAMPESINA DE CCARHUANCHO - SECTOR UCTUBAMBA"/>
    <s v="FORTALECIMIENTO DE CAPACIDADES PARA EL MANEJO DEL SISTEMA DE RIEGO PRESURIZADO EN EL SECTOR DE UTCUBAMBA DE LA COMUNIDAD CAMPESINA DE CCARHUANCHO, DISTRITO DE SAN PEDRO DE CORIS, PROVINCIA DE CHURCAMPA, REGIÃ“N HUANCAVELICA"/>
    <s v="MANEJO DE LOS RECURSOS NATURALES"/>
    <x v="16"/>
    <x v="1"/>
    <s v="CHURCAMPA"/>
    <s v="SAN PEDRO DE CORIS"/>
    <s v="CARHUANCHO"/>
    <n v="-12.63207435608"/>
    <n v="-74.37799835205"/>
    <n v="3423"/>
    <n v="2"/>
    <n v="42"/>
    <n v="21"/>
    <n v="21"/>
    <n v="0"/>
    <n v="2"/>
    <n v="2"/>
    <n v="41"/>
    <n v="20"/>
    <n v="21"/>
    <n v="0"/>
    <n v="2"/>
    <n v="2"/>
    <n v="39440"/>
    <n v="0"/>
    <n v="9360"/>
    <n v="48971.27"/>
    <s v="Exitoso"/>
    <n v="75"/>
    <n v="0"/>
    <n v="0"/>
    <n v="0"/>
    <e v="#DIV/0!"/>
    <n v="0"/>
    <n v="0"/>
    <n v="0"/>
    <e v="#DIV/0!"/>
    <n v="0"/>
    <n v="0"/>
    <n v="0"/>
    <e v="#DIV/0!"/>
    <n v="0"/>
    <n v="0"/>
    <n v="0"/>
    <e v="#DIV/0!"/>
    <n v="61000"/>
    <n v="34460"/>
    <n v="34460"/>
    <n v="0.56491803278688524"/>
  </r>
  <r>
    <x v="39"/>
    <x v="1"/>
    <s v="0054-PDT-2015"/>
    <s v="COMUNIDAD CAMPESINA DE PAZOS"/>
    <s v="FORTALECIMIENTO DE CAPACIDADES TECNICAS PRODUCTIVAS CON LA INSTALACION DE INVERNADERO PARA PRODUCCION DE SEMILLA DE PAPA NATIVA EN LA COMUNIDAD CAMPESINA DE PAZOS, DISTRITO DE PAZOS, PROVINCIA DE TAYACAJA, REGION HUANCAVELICA"/>
    <s v="SEGURIDAD ALIMENTARIA"/>
    <x v="15"/>
    <x v="1"/>
    <s v="TAYACAJA"/>
    <s v="PAZOS"/>
    <s v="PAZOS"/>
    <n v="-12.259016036989999"/>
    <n v="-75.070495605470001"/>
    <n v="3800"/>
    <n v="1"/>
    <n v="44"/>
    <n v="32"/>
    <n v="12"/>
    <n v="2"/>
    <n v="0"/>
    <n v="2"/>
    <n v="44"/>
    <n v="32"/>
    <n v="12"/>
    <n v="2"/>
    <n v="0"/>
    <n v="2"/>
    <n v="39440"/>
    <n v="1"/>
    <n v="9360"/>
    <n v="48990.13"/>
    <s v="Muy Exitoso"/>
    <n v="82.8"/>
    <n v="0"/>
    <n v="0"/>
    <n v="0"/>
    <e v="#DIV/0!"/>
    <n v="0"/>
    <n v="0"/>
    <n v="0"/>
    <e v="#DIV/0!"/>
    <n v="0"/>
    <n v="0"/>
    <n v="0"/>
    <e v="#DIV/0!"/>
    <n v="0"/>
    <n v="0"/>
    <n v="0"/>
    <e v="#DIV/0!"/>
    <n v="102500"/>
    <n v="68000"/>
    <n v="68000"/>
    <n v="0.6634146341463415"/>
  </r>
  <r>
    <x v="40"/>
    <x v="0"/>
    <s v="0071-PDN-2015"/>
    <s v="ASOCIACION DE PRODUCTORES AGROPECUARIOS PUEBLOS UNIDOS LA LIBERTAD - ACOSTAMBO"/>
    <s v="MEJORAMIENTO DE LA PRODUCCIÃ“N Y COMERCIALIZACIÃ“N DE PAPA NATIVA PIGMENTADA"/>
    <s v="AGRICOLA"/>
    <x v="1"/>
    <x v="1"/>
    <s v="TAYACAJA"/>
    <s v="ACOSTAMBO"/>
    <s v="ACOSTAMBO"/>
    <n v="-12.36531734467"/>
    <n v="-75.054794311519998"/>
    <n v="3604"/>
    <n v="1"/>
    <n v="38"/>
    <n v="27"/>
    <n v="11"/>
    <n v="4"/>
    <n v="2"/>
    <n v="6"/>
    <n v="32"/>
    <n v="27"/>
    <n v="5"/>
    <n v="4"/>
    <n v="2"/>
    <n v="6"/>
    <n v="76100"/>
    <n v="35960"/>
    <n v="0"/>
    <n v="112482.25"/>
    <s v="Exitoso"/>
    <n v="77.5"/>
    <n v="72000"/>
    <n v="108000"/>
    <n v="36000"/>
    <n v="0.5"/>
    <n v="54000"/>
    <n v="118800"/>
    <n v="64800"/>
    <n v="1.2"/>
    <n v="71000"/>
    <n v="106000"/>
    <n v="35000"/>
    <n v="0.49295774647887325"/>
    <n v="53250"/>
    <n v="116600"/>
    <n v="63350"/>
    <n v="1.1896713615023473"/>
    <n v="107530"/>
    <n v="57630"/>
    <n v="57630"/>
    <n v="0.53594345763972839"/>
  </r>
  <r>
    <x v="41"/>
    <x v="0"/>
    <s v="0073-PDN-2015"/>
    <s v="ASOCIACION DE PRODUCTORES AGROPECUARIOS FORESTALES NUEVO AMANECER DE AHUAYCHA, TAYACAJA - HUANCAVELI"/>
    <s v="MEJORAMIENTO DE LA CRIANZA Y COMERCIALIZACIÃ“N DE CUY"/>
    <s v="PECUARIO"/>
    <x v="6"/>
    <x v="1"/>
    <s v="TAYACAJA"/>
    <s v="AHUAYCHA"/>
    <s v="AHUAYCHA"/>
    <n v="-12.407444953920001"/>
    <n v="-74.891426086430002"/>
    <n v="3262"/>
    <n v="1"/>
    <n v="15"/>
    <n v="8"/>
    <n v="7"/>
    <n v="2"/>
    <n v="2"/>
    <n v="4"/>
    <n v="15"/>
    <n v="8"/>
    <n v="7"/>
    <n v="2"/>
    <n v="2"/>
    <n v="4"/>
    <n v="42300"/>
    <n v="17700"/>
    <n v="0"/>
    <n v="60222.09"/>
    <s v="Exitoso"/>
    <n v="74"/>
    <n v="450"/>
    <n v="660"/>
    <n v="210"/>
    <n v="0.46666666666666667"/>
    <n v="8100"/>
    <n v="13200"/>
    <n v="5100"/>
    <n v="0.62962962962962965"/>
    <n v="250"/>
    <n v="550"/>
    <n v="300"/>
    <n v="1.2"/>
    <n v="4500"/>
    <n v="11000"/>
    <n v="6500"/>
    <n v="1.4444444444444444"/>
    <n v="53099"/>
    <n v="45631"/>
    <n v="45631"/>
    <n v="0.85935705003860718"/>
  </r>
  <r>
    <x v="42"/>
    <x v="0"/>
    <s v="0079-PDN-2015"/>
    <s v="ASOCIACION DE PRODUCTORES AGROPECUARIOS SAN CRISTOBAL DE SECCEPIRI"/>
    <s v="MEJORAMIENTO DE LA PRODUCCIÃ“N Y COMERCIALIZACIÃ“N DE PAPA NATIVA CON VALOR AGREGADO"/>
    <s v="AGRICOLA"/>
    <x v="1"/>
    <x v="1"/>
    <s v="TAYACAJA"/>
    <s v="PAMPAS"/>
    <s v="SECCEPIRI"/>
    <n v="-12.353337287900001"/>
    <n v="-74.867462158199999"/>
    <n v="3706"/>
    <n v="2"/>
    <n v="12"/>
    <n v="5"/>
    <n v="7"/>
    <n v="1"/>
    <n v="3"/>
    <n v="4"/>
    <n v="12"/>
    <n v="5"/>
    <n v="7"/>
    <n v="1"/>
    <n v="3"/>
    <n v="4"/>
    <n v="40200"/>
    <n v="17717"/>
    <n v="0"/>
    <n v="57972.2"/>
    <s v="Exitoso"/>
    <n v="74.5"/>
    <n v="16000"/>
    <n v="18000"/>
    <n v="2000"/>
    <n v="0.125"/>
    <n v="19200"/>
    <n v="27000"/>
    <n v="7800"/>
    <n v="0.40625"/>
    <n v="11410"/>
    <n v="13040"/>
    <n v="1630"/>
    <n v="0.14285714285714285"/>
    <n v="13692"/>
    <n v="19560"/>
    <n v="5868"/>
    <n v="0.42857142857142855"/>
    <n v="123994"/>
    <n v="109421"/>
    <n v="109421"/>
    <n v="0.88247011952191234"/>
  </r>
  <r>
    <x v="43"/>
    <x v="0"/>
    <s v="0096-PDN-2015"/>
    <s v="MUJERES EMPRENDEDORAS MANANTIAL DE VIDA - CHURAMPI"/>
    <s v="MEJORAMIENTO DE LA PRODUCCIÃ“N Y COMERCIALIZACIÃ“N DE DERIVADOS LÃCTEOS (YOGURT, MANJAR BLANCO Y QUESO)"/>
    <s v="AGROINDUSTRIA"/>
    <x v="8"/>
    <x v="1"/>
    <s v="TAYACAJA"/>
    <s v="HUARIBAMBA"/>
    <s v="CHURAMPI"/>
    <n v="-12.26135063171"/>
    <n v="-75.004653930659998"/>
    <n v="3369"/>
    <n v="1"/>
    <n v="12"/>
    <n v="6"/>
    <n v="6"/>
    <n v="1"/>
    <n v="2"/>
    <n v="3"/>
    <n v="4"/>
    <n v="4"/>
    <n v="0"/>
    <n v="1"/>
    <n v="0"/>
    <n v="1"/>
    <n v="33200"/>
    <n v="13800"/>
    <n v="0"/>
    <n v="47188.9"/>
    <s v="Poco Exitoso"/>
    <n v="59"/>
    <n v="650"/>
    <n v="1200"/>
    <n v="550"/>
    <n v="0.84615384615384615"/>
    <n v="2925"/>
    <n v="6000"/>
    <n v="3075"/>
    <n v="1.0512820512820513"/>
    <n v="600"/>
    <n v="1000"/>
    <n v="400"/>
    <n v="0.66666666666666663"/>
    <n v="2700"/>
    <n v="5000"/>
    <n v="2300"/>
    <n v="0.85185185185185186"/>
    <n v="66000"/>
    <n v="31100"/>
    <n v="31100"/>
    <n v="0.47121212121212119"/>
  </r>
  <r>
    <x v="44"/>
    <x v="0"/>
    <s v="0120-PDN-2015"/>
    <s v="ASOCIACION DE PRODUCTORAS Y PRODUCTORES AGROPECUARIOS MOSSOC KAUSET DE MILPO"/>
    <s v="MEJORAMIENTO DE LA PRODUCCION Y COMERCIALIZACION DE QUESO ASOCIACION DE PRODUCTORAS Y PRODUCTORES AGROPECUARIOS MOSSOC KAUSET DE MILPO"/>
    <s v="AGROINDUSTRIA"/>
    <x v="8"/>
    <x v="1"/>
    <s v="CHURCAMPA"/>
    <s v="CHINCHIHUASI"/>
    <s v="MILPO"/>
    <n v="-12.489610672"/>
    <n v="-74.62223815918"/>
    <n v="3926"/>
    <n v="1"/>
    <n v="15"/>
    <n v="6"/>
    <n v="9"/>
    <n v="2"/>
    <n v="5"/>
    <n v="7"/>
    <n v="15"/>
    <n v="6"/>
    <n v="9"/>
    <n v="2"/>
    <n v="5"/>
    <n v="7"/>
    <n v="62800"/>
    <n v="26200"/>
    <n v="0"/>
    <n v="89293.25"/>
    <s v="Poco Exitoso"/>
    <n v="68.5"/>
    <n v="300"/>
    <n v="1500"/>
    <n v="1200"/>
    <n v="4"/>
    <n v="3600"/>
    <n v="19500"/>
    <n v="15900"/>
    <n v="4.416666666666667"/>
    <n v="220"/>
    <n v="1440"/>
    <n v="1220"/>
    <n v="5.5454545454545459"/>
    <n v="2640"/>
    <n v="18720"/>
    <n v="16080"/>
    <n v="6.0909090909090908"/>
    <n v="103000"/>
    <n v="60100"/>
    <n v="60100"/>
    <n v="0.58349514563106797"/>
  </r>
  <r>
    <x v="45"/>
    <x v="0"/>
    <s v="0127-PDN-2015"/>
    <s v="ASOCIACION DE PRODUCTORES AGROPECUARIOS DE PAZOS"/>
    <s v="MEJORAMIENTO DE LA PRODUCCION Y COMERCIALIZACION DE LA PAPA NATIVA CON VALORA AGREGADO EN LA ASOCIACION DE PRODUCTORES DE PAZOS DEL GOP ASOCIACION DE PRODUCTORES AGROPECUARIOS DE PAZOS DE LA LOCALIDAD DE MULLACA PROVINCIA DE TAYACAJA Y DEPARTAMENTO DE HUANCAVELICA"/>
    <s v="PRODUCTOS ORGANICOS"/>
    <x v="22"/>
    <x v="1"/>
    <s v="TAYACAJA"/>
    <s v="PAZOS"/>
    <s v="PAZOS"/>
    <n v="-12.259016036989999"/>
    <n v="-75.070495605470001"/>
    <n v="3800"/>
    <n v="1"/>
    <n v="34"/>
    <n v="22"/>
    <n v="12"/>
    <n v="2"/>
    <n v="4"/>
    <n v="6"/>
    <n v="34"/>
    <n v="22"/>
    <n v="12"/>
    <n v="2"/>
    <n v="4"/>
    <n v="6"/>
    <n v="44500"/>
    <n v="19255.900000000001"/>
    <n v="0"/>
    <n v="63976.76"/>
    <s v="Exitoso"/>
    <n v="70.5"/>
    <n v="16000"/>
    <n v="18300"/>
    <n v="2300"/>
    <n v="0.14374999999999999"/>
    <n v="19200"/>
    <n v="25620"/>
    <n v="6420"/>
    <n v="0.33437499999999998"/>
    <n v="14900"/>
    <n v="17030"/>
    <n v="2130"/>
    <n v="0.1429530201342282"/>
    <n v="17880"/>
    <n v="23842"/>
    <n v="5962"/>
    <n v="0.33344519015659957"/>
    <n v="73000"/>
    <n v="30388"/>
    <n v="30388"/>
    <n v="0.41627397260273974"/>
  </r>
  <r>
    <x v="46"/>
    <x v="0"/>
    <s v="0128-PDN-2015"/>
    <s v="ASOCIACION DE PRODUCTORES AGROPECUARIOS CHONGOPUQUIO PERUVISA - ACOSTAMBO"/>
    <s v="MEJORAMIENTO DE LA PRODUCCION Y COMERCIALIZACION DE PORCINOS DE LA ASOCIACION DE PRODUCTORES AGROPECUARIOS CHONGOPUQUIO PERUVISA - ACOSTAMBO, DISTRITO DE ACOSTAMBO, PROVINCIA DE TAYACAJA Y REGION HUANCAVELICA"/>
    <s v="PECUARIO"/>
    <x v="0"/>
    <x v="1"/>
    <s v="TAYACAJA"/>
    <s v="ACOSTAMBO"/>
    <s v="ACOSTAMBO"/>
    <n v="-12.36531734467"/>
    <n v="-75.054794311519998"/>
    <n v="3604"/>
    <n v="1"/>
    <n v="20"/>
    <n v="11"/>
    <n v="9"/>
    <n v="2"/>
    <n v="2"/>
    <n v="4"/>
    <n v="20"/>
    <n v="11"/>
    <n v="9"/>
    <n v="2"/>
    <n v="2"/>
    <n v="4"/>
    <n v="45200"/>
    <n v="20706"/>
    <n v="0"/>
    <n v="66116.95"/>
    <s v="Muy Exitoso"/>
    <n v="81"/>
    <n v="750"/>
    <n v="1750"/>
    <n v="1000"/>
    <n v="1.3333333333333333"/>
    <n v="3000"/>
    <n v="14000"/>
    <n v="11000"/>
    <n v="3.6666666666666665"/>
    <n v="675"/>
    <n v="1750"/>
    <n v="1075"/>
    <n v="1.5925925925925926"/>
    <n v="2700"/>
    <n v="14000"/>
    <n v="11300"/>
    <n v="4.1851851851851851"/>
    <n v="39900"/>
    <n v="43200"/>
    <n v="43200"/>
    <n v="1.0827067669172932"/>
  </r>
  <r>
    <x v="47"/>
    <x v="0"/>
    <s v="0129-PDN-2015"/>
    <s v="ASOCIACION DE PRODUCTORES Y PRODUCTORAS AGROPECUARIOS NUEVA FORTALEZA DE ACLLAHUASI"/>
    <s v="FORTALECIMIENTO INTEGRAL DE GANADO VACUNO LECHERO EN LA ASOCIACION DE PRODUCTORES Y PRODUCTORAS AGROPECUARIOS NUEVA FORTALEZA DE ACLLAHUASI, DE LA COMUNIDAD DE ACLLAHUASI, DISTRITO DE PAUCARBAMBA, PROVINCIA DE CHURCAMPA Y DEPARTAMENTO DE HUANCAVELICA"/>
    <s v="PECUARIO"/>
    <x v="9"/>
    <x v="1"/>
    <s v="CHURCAMPA"/>
    <s v="PAUCARBAMBA"/>
    <s v="ACLLAHUASI"/>
    <n v="-12.547144889829999"/>
    <n v="-74.52742767334"/>
    <n v="3428"/>
    <n v="1"/>
    <n v="21"/>
    <n v="11"/>
    <n v="10"/>
    <n v="2"/>
    <n v="1"/>
    <n v="3"/>
    <n v="21"/>
    <n v="11"/>
    <n v="10"/>
    <n v="2"/>
    <n v="1"/>
    <n v="3"/>
    <n v="42300"/>
    <n v="17950"/>
    <n v="0"/>
    <n v="60492.5"/>
    <s v="Poco Exitoso"/>
    <n v="69.5"/>
    <n v="300"/>
    <n v="600"/>
    <n v="300"/>
    <n v="1"/>
    <n v="3600"/>
    <n v="9000"/>
    <n v="5400"/>
    <n v="1.5"/>
    <n v="300"/>
    <n v="550"/>
    <n v="250"/>
    <n v="0.83333333333333337"/>
    <n v="3600"/>
    <n v="8250"/>
    <n v="4650"/>
    <n v="1.2916666666666667"/>
    <n v="43000"/>
    <n v="38145"/>
    <n v="38145"/>
    <n v="0.88709302325581396"/>
  </r>
  <r>
    <x v="48"/>
    <x v="0"/>
    <s v="0130-PDN-2015"/>
    <s v="ASOCIACION DE PRODUCTORES AGROGANADERO DEL CENTRO POBLADO DE SANTA ROSA DE PINCO-PAUCARBAMBA"/>
    <s v="MEJORAMIENTO DE LA CAPACIDAD PRODUCTIVA DEL MAIZ TIPO ASTILLA AMARILLO PARA LA ASOCIACION DE PRODUCTORES AGROGANADERO DEL CENTRO POBLADO DE SANTA ROSA DE PINCO DEL DISTRITO DE PAUCARBAMBA, PROVINCIA DE CHURCAMPA DEPARTAMENTO DE HUANCAVELICA"/>
    <s v="AGRICOLA"/>
    <x v="11"/>
    <x v="1"/>
    <s v="CHURCAMPA"/>
    <s v="PAUCARBAMBA"/>
    <s v="SANTA ROSA DE PINCO"/>
    <n v="-12.540030479429999"/>
    <n v="-74.544479370120001"/>
    <n v="3150"/>
    <n v="1"/>
    <n v="30"/>
    <n v="13"/>
    <n v="17"/>
    <n v="3"/>
    <n v="5"/>
    <n v="8"/>
    <n v="30"/>
    <n v="13"/>
    <n v="17"/>
    <n v="3"/>
    <n v="5"/>
    <n v="8"/>
    <n v="79600"/>
    <n v="33400"/>
    <n v="0"/>
    <n v="113419.48"/>
    <s v="Exitoso"/>
    <n v="76.599999999999994"/>
    <n v="5000"/>
    <n v="9000"/>
    <n v="4000"/>
    <n v="0.8"/>
    <n v="7500"/>
    <n v="18000"/>
    <n v="10500"/>
    <n v="1.4"/>
    <n v="4500"/>
    <n v="9000"/>
    <n v="4500"/>
    <n v="1"/>
    <n v="6750"/>
    <n v="18000"/>
    <n v="11250"/>
    <n v="1.6666666666666667"/>
    <n v="76080"/>
    <n v="75200"/>
    <n v="75200"/>
    <n v="0.98843322818086221"/>
  </r>
  <r>
    <x v="49"/>
    <x v="0"/>
    <s v="0135-PDN-2015"/>
    <s v="ASOCIACION DE PRODUCTORES NUEVO AMANECER CENTRO B"/>
    <s v="MEJORAMIENTO DE LA PRODUCCION Y COMERCIALIZACION DE MAIZ CON VALOR AGREGADO EN LA ASOCIACION DE PRODUCTORES NUEVO AMANECER B"/>
    <s v="AGRICOLA"/>
    <x v="11"/>
    <x v="1"/>
    <s v="TAYACAJA"/>
    <s v="HUARIBAMBA"/>
    <s v="PICHUS"/>
    <n v="-12.23454380035"/>
    <n v="-74.939254760739999"/>
    <n v="3273"/>
    <n v="1"/>
    <n v="31"/>
    <n v="18"/>
    <n v="13"/>
    <n v="2"/>
    <n v="4"/>
    <n v="6"/>
    <n v="11"/>
    <n v="10"/>
    <n v="1"/>
    <n v="0"/>
    <n v="1"/>
    <n v="1"/>
    <n v="61300"/>
    <n v="25800"/>
    <n v="0"/>
    <n v="87388.01"/>
    <s v="Exitoso"/>
    <n v="70.5"/>
    <n v="2500"/>
    <n v="3200"/>
    <n v="700"/>
    <n v="0.28000000000000003"/>
    <n v="6250"/>
    <n v="9600"/>
    <n v="3350"/>
    <n v="0.53600000000000003"/>
    <n v="2000"/>
    <n v="3000"/>
    <n v="1000"/>
    <n v="0.5"/>
    <n v="5000"/>
    <n v="9000"/>
    <n v="4000"/>
    <n v="0.8"/>
    <n v="30000"/>
    <n v="28800"/>
    <n v="28800"/>
    <n v="0.96"/>
  </r>
  <r>
    <x v="50"/>
    <x v="0"/>
    <s v="0137-PDN-2015"/>
    <s v="ASOCIACION DE PRODUCTORES AGROPECUARIOS Y AGROPECUARIAS VILLA ANDABAMBA"/>
    <s v="MEJORAMIENTO DE LA PRODUCCION Y COMERCIALIZACION DE LA LECHE FRESCA Y DERIVADOS (QUESO Y YOGURT)"/>
    <s v="AGROINDUSTRIA"/>
    <x v="8"/>
    <x v="1"/>
    <s v="CHURCAMPA"/>
    <s v="PAUCARBAMBA"/>
    <s v="PAUCARBAMBA"/>
    <n v="-12.553586959840001"/>
    <n v="-74.52986907959"/>
    <n v="3381"/>
    <n v="1"/>
    <n v="25"/>
    <n v="10"/>
    <n v="15"/>
    <n v="2"/>
    <n v="1"/>
    <n v="3"/>
    <n v="25"/>
    <n v="10"/>
    <n v="15"/>
    <n v="2"/>
    <n v="1"/>
    <n v="3"/>
    <n v="61300"/>
    <n v="25950"/>
    <n v="0"/>
    <n v="87615.09"/>
    <s v="Poco Exitoso"/>
    <n v="68.5"/>
    <n v="280"/>
    <n v="580"/>
    <n v="300"/>
    <n v="1.0714285714285714"/>
    <n v="3360"/>
    <n v="8120"/>
    <n v="4760"/>
    <n v="1.4166666666666667"/>
    <n v="260"/>
    <n v="520"/>
    <n v="260"/>
    <n v="1"/>
    <n v="3120"/>
    <n v="7280"/>
    <n v="4160"/>
    <n v="1.3333333333333333"/>
    <n v="54800"/>
    <n v="53730"/>
    <n v="53730"/>
    <n v="0.98047445255474452"/>
  </r>
  <r>
    <x v="51"/>
    <x v="0"/>
    <s v="0138-PDN-2015"/>
    <s v="ASOCIACION DE PRODUCTORES AGROPECUARIOS Y DERIVADOS SANTA ROSA DE LIMA DEL ANEXO SANTA ROSA"/>
    <s v="MEJORAMIENTO DE LA PRODUCCION Y COMERCIALIZACION DE LACTEOS &quot;QUESO Y YOGURT&quot;"/>
    <s v="AGROINDUSTRIA"/>
    <x v="8"/>
    <x v="1"/>
    <s v="TAYACAJA"/>
    <s v="ACRAQUIA"/>
    <s v="SANTA ROSA"/>
    <n v="-12.40627670288"/>
    <n v="-74.91310119629"/>
    <n v="3268"/>
    <n v="1"/>
    <n v="21"/>
    <n v="11"/>
    <n v="10"/>
    <n v="4"/>
    <n v="4"/>
    <n v="8"/>
    <n v="21"/>
    <n v="11"/>
    <n v="10"/>
    <n v="4"/>
    <n v="4"/>
    <n v="8"/>
    <n v="59900"/>
    <n v="28260"/>
    <n v="0"/>
    <n v="88441.11"/>
    <s v="Muy Exitoso"/>
    <n v="81"/>
    <n v="3000"/>
    <n v="6200"/>
    <n v="3200"/>
    <n v="1.0666666666666667"/>
    <n v="36000"/>
    <n v="93000"/>
    <n v="57000"/>
    <n v="1.5833333333333333"/>
    <n v="2600"/>
    <n v="6000"/>
    <n v="3400"/>
    <n v="1.3076923076923077"/>
    <n v="31200"/>
    <n v="90000"/>
    <n v="58800"/>
    <n v="1.8846153846153846"/>
    <n v="55300"/>
    <n v="53500"/>
    <n v="53500"/>
    <n v="0.96745027124773963"/>
  </r>
  <r>
    <x v="52"/>
    <x v="0"/>
    <s v="0139-PDN-2015"/>
    <s v="ASOCIACION DE PRODUCTORES Y PRODUCTORAS AGROPECUARIAS MANANTIALES DE HUAYHUARA"/>
    <s v="MEJORAMIENTO DE LA PRODUCCION Y COMERCIALIZACION DE LA LECHE Y DERIVADOS (QUESO Y YOGURT)"/>
    <s v="AGROINDUSTRIA"/>
    <x v="8"/>
    <x v="1"/>
    <s v="CHURCAMPA"/>
    <s v="PAUCARBAMBA"/>
    <s v="UCHUY CRUZ"/>
    <n v="-12.567100524900001"/>
    <n v="-74.511344909670001"/>
    <n v="3742"/>
    <n v="1"/>
    <n v="23"/>
    <n v="16"/>
    <n v="7"/>
    <n v="0"/>
    <n v="1"/>
    <n v="1"/>
    <n v="23"/>
    <n v="16"/>
    <n v="7"/>
    <n v="0"/>
    <n v="1"/>
    <n v="1"/>
    <n v="61300"/>
    <n v="25950"/>
    <n v="0"/>
    <n v="87660.85"/>
    <s v="Exitoso"/>
    <n v="70"/>
    <n v="200"/>
    <n v="500"/>
    <n v="300"/>
    <n v="1.5"/>
    <n v="2400"/>
    <n v="7500"/>
    <n v="5100"/>
    <n v="2.125"/>
    <n v="200"/>
    <n v="450"/>
    <n v="250"/>
    <n v="1.25"/>
    <n v="2400"/>
    <n v="6750"/>
    <n v="4350"/>
    <n v="1.8125"/>
    <n v="62600"/>
    <n v="58583"/>
    <n v="58583"/>
    <n v="0.93583067092651762"/>
  </r>
</pivotCacheRecords>
</file>

<file path=xl/pivotCache/pivotCacheRecords3.xml><?xml version="1.0" encoding="utf-8"?>
<pivotCacheRecords xmlns="http://schemas.openxmlformats.org/spreadsheetml/2006/main" xmlns:r="http://schemas.openxmlformats.org/officeDocument/2006/relationships" count="53">
  <r>
    <n v="1"/>
    <x v="0"/>
    <s v="0026-PDN-2015"/>
    <s v="ASOCIACION DE PRODUCTORES AGROPECUARIOS DE VALLE DE TOXAMA"/>
    <s v="FORTALECIMIENTO DE LAS CAPACIDADES PARA EL MEJORAMIENTO DE LA CRIANZA DE PORCINOS"/>
    <s v="PECUARIO"/>
    <s v="CRIANZA DE PORCINOS"/>
    <s v="APURIMAC"/>
    <x v="0"/>
    <x v="0"/>
    <s v="SAN MARTIN DE TOXAMA"/>
    <n v="-13.534287452699999"/>
    <n v="-73.396041870120001"/>
    <n v="2618"/>
    <n v="1"/>
    <n v="60"/>
    <n v="29"/>
    <n v="31"/>
    <n v="4"/>
    <n v="6"/>
    <n v="10"/>
    <n v="51"/>
    <n v="23"/>
    <n v="28"/>
    <n v="4"/>
    <n v="5"/>
    <n v="9"/>
    <n v="40900"/>
    <n v="17100"/>
    <n v="0"/>
    <n v="58000"/>
    <x v="0"/>
    <n v="78.3"/>
    <n v="1100"/>
    <n v="1350"/>
    <n v="250"/>
    <n v="0.22727272727272727"/>
    <n v="13200"/>
    <n v="20250"/>
    <n v="7050"/>
    <n v="0.53409090909090906"/>
    <n v="980"/>
    <n v="1250"/>
    <n v="270"/>
    <n v="0.27551020408163263"/>
    <n v="11760"/>
    <n v="18750"/>
    <n v="6990"/>
    <n v="0.59438775510204078"/>
    <n v="54910"/>
    <n v="38284"/>
    <n v="38284"/>
    <n v="0.69721362229102168"/>
  </r>
  <r>
    <n v="2"/>
    <x v="0"/>
    <s v="0027-PDN-2015"/>
    <s v="ASOCIACION PRODUCTIVA AGROPECUARIA PAPAS NATIVAS DE LOS ANDES PUYHUALLA CENTRO"/>
    <s v="FORTALECIMIENTO DE LAS CAPACIDADES PARA LA PRODUCCIÃ“N Y COMERCIALIZACIÃ“N DE PAPAS NATIVAS"/>
    <s v="AGRICOLA"/>
    <s v="TUBERCULOS ANDINOS"/>
    <s v="APURIMAC"/>
    <x v="0"/>
    <x v="0"/>
    <s v="PUYHUALLA CENTRO"/>
    <n v="-13.55224895477"/>
    <n v="-73.342323303219999"/>
    <n v="3513"/>
    <n v="1"/>
    <n v="42"/>
    <n v="23"/>
    <n v="19"/>
    <n v="0"/>
    <n v="3"/>
    <n v="3"/>
    <n v="28"/>
    <n v="22"/>
    <n v="6"/>
    <n v="0"/>
    <n v="2"/>
    <n v="2"/>
    <n v="29070"/>
    <n v="12030"/>
    <n v="0"/>
    <n v="41119.5"/>
    <x v="1"/>
    <n v="84.6"/>
    <n v="11000"/>
    <n v="15000"/>
    <n v="4000"/>
    <n v="0.36363636363636365"/>
    <n v="18700"/>
    <n v="30000"/>
    <n v="11300"/>
    <n v="0.60427807486631013"/>
    <n v="9500"/>
    <n v="12000"/>
    <n v="2500"/>
    <n v="0.26315789473684209"/>
    <n v="16150"/>
    <n v="24000"/>
    <n v="7850"/>
    <n v="0.48606811145510836"/>
    <n v="41000"/>
    <n v="24900"/>
    <n v="24900"/>
    <n v="0.60731707317073169"/>
  </r>
  <r>
    <n v="3"/>
    <x v="0"/>
    <s v="0028-PDN-2015"/>
    <s v="ASOCIACION DE PRODUCTORES AGROPECUARIOS Y CIVIL CERCADO ANDARAPA"/>
    <s v="FORTALECIMIENTO DE LAS CAPACIDADES PARA EL INCREMENTO DE LA PRODUCCIÃ“N Y COMERCIALIZACIÃ“N DE HUEVO DE GALLINA DE CORRAL"/>
    <s v="PECUARIO"/>
    <s v="CRIANZA DE AVES DE CORRAL"/>
    <s v="APURIMAC"/>
    <x v="0"/>
    <x v="0"/>
    <s v="ANDARAPA"/>
    <n v="-13.528211593629999"/>
    <n v="-73.365753173830001"/>
    <n v="2977"/>
    <n v="1"/>
    <n v="31"/>
    <n v="16"/>
    <n v="15"/>
    <n v="3"/>
    <n v="4"/>
    <n v="7"/>
    <n v="20"/>
    <n v="11"/>
    <n v="9"/>
    <n v="3"/>
    <n v="4"/>
    <n v="7"/>
    <n v="26410"/>
    <n v="10890"/>
    <n v="0"/>
    <n v="37300.85"/>
    <x v="0"/>
    <n v="74.3"/>
    <n v="1120"/>
    <n v="1600"/>
    <n v="480"/>
    <n v="0.42857142857142855"/>
    <n v="7000"/>
    <n v="12000"/>
    <n v="5000"/>
    <n v="0.7142857142857143"/>
    <n v="928"/>
    <n v="1120"/>
    <n v="192"/>
    <n v="0.20689655172413793"/>
    <n v="5800"/>
    <n v="8400"/>
    <n v="2600"/>
    <n v="0.44827586206896552"/>
    <n v="63600"/>
    <n v="21200"/>
    <n v="21200"/>
    <n v="0.33333333333333331"/>
  </r>
  <r>
    <n v="4"/>
    <x v="1"/>
    <s v="0029-PDT-2015"/>
    <s v="COMUNIDAD CAMPESINA ANDARAPA ANEXO ANTACCOCHA"/>
    <s v="MEJORAMIENTO DEL SISTEMA DE RIEGO TECNIFICADO PARA BIO HUERTO FAMILIAR"/>
    <s v="SEGURIDAD ALIMENTARIA"/>
    <s v="HORTALIZAS"/>
    <s v="APURIMAC"/>
    <x v="0"/>
    <x v="0"/>
    <s v="ANTACCOCHA"/>
    <n v="-13.535510063169999"/>
    <n v="-73.363357543950002"/>
    <n v="3071"/>
    <n v="1"/>
    <n v="40"/>
    <n v="25"/>
    <n v="15"/>
    <n v="6"/>
    <n v="3"/>
    <n v="9"/>
    <n v="40"/>
    <n v="25"/>
    <n v="15"/>
    <n v="6"/>
    <n v="3"/>
    <n v="9"/>
    <n v="37200"/>
    <n v="0"/>
    <n v="8800"/>
    <n v="46005.95"/>
    <x v="0"/>
    <n v="75.2"/>
    <n v="0"/>
    <n v="0"/>
    <n v="0"/>
    <e v="#DIV/0!"/>
    <n v="0"/>
    <n v="0"/>
    <n v="0"/>
    <e v="#DIV/0!"/>
    <n v="0"/>
    <n v="0"/>
    <n v="0"/>
    <e v="#DIV/0!"/>
    <n v="0"/>
    <n v="0"/>
    <n v="0"/>
    <e v="#DIV/0!"/>
    <n v="50320"/>
    <n v="33440"/>
    <n v="33440"/>
    <n v="0.66454689984101745"/>
  </r>
  <r>
    <n v="5"/>
    <x v="1"/>
    <s v="0049-PDT-2015"/>
    <s v="COMUNIDAD CAMPESINA DE HUANCAS"/>
    <s v="REFORESTACIÃ“N Y RECUPERACIÃ“N DE MANANTES DEL ANEXO DE CUNYARI"/>
    <s v="MANEJO DE LOS RECURSOS NATURALES"/>
    <s v="PROTECCION DE MANANTES"/>
    <s v="APURIMAC"/>
    <x v="0"/>
    <x v="0"/>
    <s v="HUANCAS"/>
    <n v="-13.477033615110001"/>
    <n v="-73.372261047359999"/>
    <n v="3159"/>
    <n v="1"/>
    <n v="61"/>
    <n v="31"/>
    <n v="30"/>
    <n v="7"/>
    <n v="7"/>
    <n v="14"/>
    <n v="35"/>
    <n v="25"/>
    <n v="10"/>
    <n v="7"/>
    <n v="1"/>
    <n v="8"/>
    <n v="37200"/>
    <n v="0"/>
    <n v="8800"/>
    <n v="46000"/>
    <x v="0"/>
    <n v="73.3"/>
    <n v="0"/>
    <n v="0"/>
    <n v="0"/>
    <e v="#DIV/0!"/>
    <n v="0"/>
    <n v="0"/>
    <n v="0"/>
    <e v="#DIV/0!"/>
    <n v="0"/>
    <n v="0"/>
    <n v="0"/>
    <e v="#DIV/0!"/>
    <n v="0"/>
    <n v="0"/>
    <n v="0"/>
    <e v="#DIV/0!"/>
    <n v="57304"/>
    <n v="24308"/>
    <n v="24308"/>
    <n v="0.42419377355856486"/>
  </r>
  <r>
    <n v="6"/>
    <x v="1"/>
    <s v="0050-PDT-2015"/>
    <s v="COMUNIDAD CAMPESINA PISCOBAMBA - ANEXO CCOLLCCA"/>
    <s v="CRIANZA DE GALLINAS PARA EL MEJORAMIENTO DE LA ALIMENTACIÃ“N DE LAS FAMILIAS DEL ANEXO CCOLLCCA"/>
    <s v="SEGURIDAD ALIMENTARIA"/>
    <s v="GALLINAS DE POSTURA"/>
    <s v="APURIMAC"/>
    <x v="1"/>
    <x v="1"/>
    <s v="PISCOBAMBA BAJA"/>
    <n v="-13.560250282289999"/>
    <n v="-73.48462677002"/>
    <n v="3101"/>
    <n v="2"/>
    <n v="67"/>
    <n v="24"/>
    <n v="43"/>
    <n v="1"/>
    <n v="8"/>
    <n v="9"/>
    <n v="28"/>
    <n v="24"/>
    <n v="4"/>
    <n v="1"/>
    <n v="1"/>
    <n v="2"/>
    <n v="37680"/>
    <n v="0"/>
    <n v="8920"/>
    <n v="46624.31"/>
    <x v="2"/>
    <n v="69.900000000000006"/>
    <n v="0"/>
    <n v="0"/>
    <n v="0"/>
    <e v="#DIV/0!"/>
    <n v="0"/>
    <n v="0"/>
    <n v="0"/>
    <e v="#DIV/0!"/>
    <n v="0"/>
    <n v="0"/>
    <n v="0"/>
    <e v="#DIV/0!"/>
    <n v="0"/>
    <n v="0"/>
    <n v="0"/>
    <e v="#DIV/0!"/>
    <n v="92500"/>
    <n v="31520"/>
    <n v="31520"/>
    <n v="0.34075675675675676"/>
  </r>
  <r>
    <n v="7"/>
    <x v="0"/>
    <s v="0052-PDN-2015"/>
    <s v="ASOCIACIÓN LAS TRIUNFADORAS DE KAQUIABAMBA"/>
    <s v="MEJORAMIENTO DE LA PRODUCCIÃ“N Y COMERCIALIZACIÃ“N DE AVES DE POSTURA"/>
    <s v="PECUARIO"/>
    <s v="CRIANZA DE AVES DE CORRAL"/>
    <s v="APURIMAC"/>
    <x v="0"/>
    <x v="2"/>
    <s v="KAQUIABAMBA"/>
    <n v="-13.53239345551"/>
    <n v="-73.288635253910002"/>
    <n v="3117"/>
    <n v="2"/>
    <n v="35"/>
    <n v="15"/>
    <n v="20"/>
    <n v="2"/>
    <n v="4"/>
    <n v="6"/>
    <n v="24"/>
    <n v="15"/>
    <n v="9"/>
    <n v="2"/>
    <n v="2"/>
    <n v="4"/>
    <n v="61400"/>
    <n v="24600"/>
    <n v="0"/>
    <n v="86000"/>
    <x v="0"/>
    <n v="79.900000000000006"/>
    <n v="825"/>
    <n v="1110"/>
    <n v="285"/>
    <n v="0.34545454545454546"/>
    <n v="6600"/>
    <n v="8877"/>
    <n v="2277"/>
    <n v="0.34499999999999997"/>
    <n v="800"/>
    <n v="1100"/>
    <n v="300"/>
    <n v="0.375"/>
    <n v="6400"/>
    <n v="8800"/>
    <n v="2400"/>
    <n v="0.375"/>
    <n v="88800"/>
    <n v="59630"/>
    <n v="59630"/>
    <n v="0.67150900900900901"/>
  </r>
  <r>
    <n v="8"/>
    <x v="0"/>
    <s v="0063-PDN-2015"/>
    <s v="ASOCIACIÃ³N DE NUEVA FORTALEZA MITOBAMBA"/>
    <s v="MEJORAMIEBNTO DE LA PRODUCCIÃ“N Y COMERCIALIZACIÃ“N DE CUYES"/>
    <s v="PECUARIO"/>
    <s v="CRIANZA DE CUYES"/>
    <s v="APURIMAC"/>
    <x v="1"/>
    <x v="1"/>
    <s v="MITOBAMBA"/>
    <n v="-13.479425430299999"/>
    <n v="-73.549438476559999"/>
    <n v="2968"/>
    <n v="2"/>
    <n v="42"/>
    <n v="13"/>
    <n v="29"/>
    <n v="3"/>
    <n v="5"/>
    <n v="8"/>
    <n v="30"/>
    <n v="4"/>
    <n v="26"/>
    <n v="1"/>
    <n v="5"/>
    <n v="6"/>
    <n v="41754"/>
    <n v="18996"/>
    <n v="0"/>
    <n v="60767.43"/>
    <x v="0"/>
    <n v="70"/>
    <n v="1080"/>
    <n v="1620"/>
    <n v="540"/>
    <n v="0.5"/>
    <n v="16800"/>
    <n v="25200"/>
    <n v="8400"/>
    <n v="0.5"/>
    <n v="810"/>
    <n v="1296"/>
    <n v="486"/>
    <n v="0.6"/>
    <n v="12600"/>
    <n v="20160"/>
    <n v="7560"/>
    <n v="0.6"/>
    <n v="52500"/>
    <n v="34350"/>
    <n v="34350"/>
    <n v="0.65428571428571425"/>
  </r>
  <r>
    <n v="9"/>
    <x v="0"/>
    <s v="0065-PDN-2015"/>
    <s v="ASOCIACIÃ³N JUAN VELASCO ALVARADO DEL DISTRITO DE ANDARAPA AJVADA"/>
    <s v="FORTALECIMIENTO DE LAS CAPACIDADES PARA EL MEJORAMIENTO DE LA CRIANZA Y COMERCIALIZACIÃ“N DE PORCINOS"/>
    <s v="PECUARIO"/>
    <s v="CRIANZA DE PORCINOS"/>
    <s v="APURIMAC"/>
    <x v="0"/>
    <x v="0"/>
    <s v="HUAYAUPAMPA"/>
    <n v="-13.52082061768"/>
    <n v="-73.363395690920001"/>
    <n v="2909"/>
    <n v="1"/>
    <n v="21"/>
    <n v="10"/>
    <n v="11"/>
    <n v="1"/>
    <n v="2"/>
    <n v="3"/>
    <n v="12"/>
    <n v="10"/>
    <n v="2"/>
    <n v="1"/>
    <n v="1"/>
    <n v="2"/>
    <n v="20600"/>
    <n v="8400"/>
    <n v="0"/>
    <n v="29000"/>
    <x v="0"/>
    <n v="70.400000000000006"/>
    <n v="500"/>
    <n v="700"/>
    <n v="200"/>
    <n v="0.4"/>
    <n v="5500"/>
    <n v="8400"/>
    <n v="2900"/>
    <n v="0.52727272727272723"/>
    <n v="400"/>
    <n v="650"/>
    <n v="250"/>
    <n v="0.625"/>
    <n v="4400"/>
    <n v="7800"/>
    <n v="3400"/>
    <n v="0.77272727272727271"/>
    <n v="53800"/>
    <n v="15160"/>
    <n v="15160"/>
    <n v="0.28178438661710037"/>
  </r>
  <r>
    <n v="10"/>
    <x v="1"/>
    <s v="0067-PDT-2015"/>
    <s v="COMUNIDAD CAMPESINA HUALLAHUAYOCC, ANEXO NUEVA ESPERANZA DE MARCOCCASA"/>
    <s v="MEJORAMIENTO DEL SISTEMA DE AGUA POTABLE"/>
    <s v="VIVIENDA RURAL"/>
    <s v="SISTEMA ELEMENTAL DE AGUA PARA CONSUMO HUMANO"/>
    <s v="APURIMAC"/>
    <x v="0"/>
    <x v="0"/>
    <s v="HUALLHUAYOCC"/>
    <n v="-13.54908370972"/>
    <n v="-73.363632202150001"/>
    <n v="3331"/>
    <n v="1"/>
    <n v="67"/>
    <n v="32"/>
    <n v="35"/>
    <n v="6"/>
    <n v="6"/>
    <n v="12"/>
    <n v="28"/>
    <n v="22"/>
    <n v="6"/>
    <n v="4"/>
    <n v="1"/>
    <n v="5"/>
    <n v="37680"/>
    <n v="2.2000000000000002"/>
    <n v="8920"/>
    <n v="46602.2"/>
    <x v="0"/>
    <n v="72.8"/>
    <n v="0"/>
    <n v="0"/>
    <n v="0"/>
    <e v="#DIV/0!"/>
    <n v="0"/>
    <n v="0"/>
    <n v="0"/>
    <e v="#DIV/0!"/>
    <n v="0"/>
    <n v="0"/>
    <n v="0"/>
    <e v="#DIV/0!"/>
    <n v="0"/>
    <n v="0"/>
    <n v="0"/>
    <e v="#DIV/0!"/>
    <n v="38800"/>
    <n v="33896"/>
    <n v="33896"/>
    <n v="0.8736082474226804"/>
  </r>
  <r>
    <n v="11"/>
    <x v="0"/>
    <s v="0068-PDN-2015"/>
    <s v="ASOCIACIÃ³N DE GANADEROS AGROPECUARIOS SANTA ROSA DE KAQUIABAMBA"/>
    <s v="MEJORAMIENTO DE LA PRODUCCIÃ“N Y COMERCIALIZACIÃ“N DE LECHE FRESCA"/>
    <s v="AGROINDUSTRIA"/>
    <s v="DERIVADOS LACTEOS"/>
    <s v="APURIMAC"/>
    <x v="0"/>
    <x v="2"/>
    <s v="KAQUIABAMBA"/>
    <n v="-13.53239345551"/>
    <n v="-73.288635253910002"/>
    <n v="3117"/>
    <n v="2"/>
    <n v="27"/>
    <n v="10"/>
    <n v="17"/>
    <n v="1"/>
    <n v="4"/>
    <n v="5"/>
    <n v="16"/>
    <n v="9"/>
    <n v="7"/>
    <n v="1"/>
    <n v="2"/>
    <n v="3"/>
    <n v="51400"/>
    <n v="21600"/>
    <n v="0"/>
    <n v="73000"/>
    <x v="0"/>
    <n v="70"/>
    <n v="28800"/>
    <n v="40000"/>
    <n v="11200"/>
    <n v="0.3888888888888889"/>
    <n v="51840"/>
    <n v="72000"/>
    <n v="20160"/>
    <n v="0.3888888888888889"/>
    <n v="25000"/>
    <n v="35000"/>
    <n v="10000"/>
    <n v="0.4"/>
    <n v="45000"/>
    <n v="63000"/>
    <n v="18000"/>
    <n v="0.4"/>
    <n v="118000"/>
    <n v="43245"/>
    <n v="43245"/>
    <n v="0.36648305084745764"/>
  </r>
  <r>
    <n v="12"/>
    <x v="0"/>
    <s v="0089-PDN-2015"/>
    <s v="ASOCIACION DE PRODUCTORES DE GANADO LECHERO VIRGEN DEL CARMEN - KAQUIABAMBA APROGLEVCAK"/>
    <s v="MEJORAMIENTO DE LA PRODUCCIÃ“N Y COMERCIALIZACIÃ“N DE GANADO VACUNO LECHERO"/>
    <s v="PECUARIO"/>
    <s v="CRIANZA DE VACUNOS"/>
    <s v="APURIMAC"/>
    <x v="0"/>
    <x v="2"/>
    <s v="KAQUIABAMBA"/>
    <n v="-13.53239345551"/>
    <n v="-73.288635253910002"/>
    <n v="3117"/>
    <n v="2"/>
    <n v="44"/>
    <n v="21"/>
    <n v="23"/>
    <n v="1"/>
    <n v="1"/>
    <n v="2"/>
    <n v="29"/>
    <n v="15"/>
    <n v="14"/>
    <n v="1"/>
    <n v="0"/>
    <n v="1"/>
    <n v="69000"/>
    <n v="29003.33"/>
    <n v="0"/>
    <n v="98003.33"/>
    <x v="0"/>
    <n v="70.400000000000006"/>
    <n v="45000"/>
    <n v="60000"/>
    <n v="15000"/>
    <n v="0.33333333333333331"/>
    <n v="67500"/>
    <n v="108000"/>
    <n v="40500"/>
    <n v="0.6"/>
    <n v="44000"/>
    <n v="55000"/>
    <n v="11000"/>
    <n v="0.25"/>
    <n v="66000"/>
    <n v="99000"/>
    <n v="33000"/>
    <n v="0.5"/>
    <n v="173650"/>
    <n v="59129"/>
    <n v="59129"/>
    <n v="0.3405067664843075"/>
  </r>
  <r>
    <n v="13"/>
    <x v="0"/>
    <s v="0111-PDN-2015"/>
    <s v="ASOCIACIÓN CIVIL NIÑO JESÚS DE PUYHUALLA CENTRO"/>
    <s v="FORTALECIMIENTO DE LAS CAPACIDADES PARA LA PRODUCCIÃ“N Y COMERCIALIZACIÃ“N DE CUYES"/>
    <s v="PECUARIO"/>
    <s v="CRIANZA DE CUYES"/>
    <s v="APURIMAC"/>
    <x v="0"/>
    <x v="0"/>
    <s v="PUYHUALLA CENTRO"/>
    <n v="-13.55224895477"/>
    <n v="-73.342323303219999"/>
    <n v="3513"/>
    <n v="1"/>
    <n v="23"/>
    <n v="9"/>
    <n v="14"/>
    <n v="1"/>
    <n v="7"/>
    <n v="8"/>
    <n v="15"/>
    <n v="9"/>
    <n v="6"/>
    <n v="1"/>
    <n v="5"/>
    <n v="6"/>
    <n v="30400"/>
    <n v="12600"/>
    <n v="0"/>
    <n v="43037.97"/>
    <x v="0"/>
    <n v="77.599999999999994"/>
    <n v="790"/>
    <n v="1260"/>
    <n v="470"/>
    <n v="0.59493670886075944"/>
    <n v="11060"/>
    <n v="18900"/>
    <n v="7840"/>
    <n v="0.70886075949367089"/>
    <n v="575"/>
    <n v="625"/>
    <n v="50"/>
    <n v="8.6956521739130432E-2"/>
    <n v="8050"/>
    <n v="9375"/>
    <n v="1325"/>
    <n v="0.16459627329192547"/>
    <n v="51500"/>
    <n v="28005"/>
    <n v="28005"/>
    <n v="0.54378640776699028"/>
  </r>
  <r>
    <n v="14"/>
    <x v="0"/>
    <s v="0112-PDN-2015"/>
    <s v="ASOCIACIÓN DE PRODUCTORES AGROPECUARIOS VALLE DE PULCAY Y PARCCO"/>
    <s v="MEJORAMIENTO DE LA PRODUCCIÃ“N Y COMERCIALIZACIÃ“N DE PROCESAMIENTO DE CAÃ‘A DE AZÃšCAR"/>
    <s v="AGROINDUSTRIA"/>
    <s v="ALIMENTOS PROCESADOS"/>
    <s v="APURIMAC"/>
    <x v="1"/>
    <x v="3"/>
    <s v="HUACCANA"/>
    <n v="-13.388096809389999"/>
    <n v="-73.69002532959"/>
    <n v="3082"/>
    <n v="1"/>
    <n v="38"/>
    <n v="27"/>
    <n v="11"/>
    <n v="0"/>
    <n v="0"/>
    <n v="0"/>
    <n v="32"/>
    <n v="27"/>
    <n v="5"/>
    <n v="0"/>
    <n v="0"/>
    <n v="0"/>
    <n v="76100"/>
    <n v="31900"/>
    <n v="0"/>
    <n v="108134.3"/>
    <x v="0"/>
    <n v="74.8"/>
    <n v="12075"/>
    <n v="14570"/>
    <n v="2495"/>
    <n v="0.20662525879917185"/>
    <n v="36225"/>
    <n v="45167"/>
    <n v="8942"/>
    <n v="0.24684610075914423"/>
    <n v="12075"/>
    <n v="14570"/>
    <n v="2495"/>
    <n v="0.20662525879917185"/>
    <n v="36225"/>
    <n v="45167"/>
    <n v="8942"/>
    <n v="0.24684610075914423"/>
    <n v="125420"/>
    <n v="72100"/>
    <n v="72100"/>
    <n v="0.57486844203476317"/>
  </r>
  <r>
    <n v="15"/>
    <x v="0"/>
    <s v="0113-PDN-2015"/>
    <s v="ASOCIACIÓN DE PRODUCTORES AGROPECUARIOS MICRO CUENCA APU CUCAS DE SAN JUAN TRIBOL APAMCAC"/>
    <s v="FORTALECIMIENTO DE CAPACIDADES PARA LA PRODUCCIÃ“N Y COMERCIALIZACIÃ“N DE GRANOS ANDINOS"/>
    <s v="AGRICOLA"/>
    <s v="CEREALES ANDINOS"/>
    <s v="APURIMAC"/>
    <x v="0"/>
    <x v="0"/>
    <s v="HUANCAS"/>
    <n v="-13.477033615110001"/>
    <n v="-73.372261047359999"/>
    <n v="3159"/>
    <n v="1"/>
    <n v="26"/>
    <n v="13"/>
    <n v="13"/>
    <n v="1"/>
    <n v="1"/>
    <n v="2"/>
    <n v="12"/>
    <n v="11"/>
    <n v="1"/>
    <n v="1"/>
    <n v="0"/>
    <n v="1"/>
    <n v="37890"/>
    <n v="15877.5"/>
    <n v="0"/>
    <n v="53767.5"/>
    <x v="0"/>
    <n v="79.3"/>
    <n v="3500"/>
    <n v="5500"/>
    <n v="2000"/>
    <n v="0.5714285714285714"/>
    <n v="15750"/>
    <n v="27500"/>
    <n v="11750"/>
    <n v="0.74603174603174605"/>
    <n v="3000"/>
    <n v="4500"/>
    <n v="1500"/>
    <n v="0.5"/>
    <n v="13500"/>
    <n v="22500"/>
    <n v="9000"/>
    <n v="0.66666666666666663"/>
    <n v="53700"/>
    <n v="35850"/>
    <n v="35850"/>
    <n v="0.66759776536312854"/>
  </r>
  <r>
    <n v="16"/>
    <x v="0"/>
    <s v="0116-PDN-2015"/>
    <s v="ASOCIACIÓN CULTURAL Y PRODUCTIVO ALLIN RURUQ - ACYPAR"/>
    <s v="FORTALECIMIENTO DE LAS CAPACIDADES PARA LA PRODUCCIÃ“N Y COMERCIALIZACIÃ“N DE GRANOS ANDINOS"/>
    <s v="AGRICOLA"/>
    <s v="CEREALES ANDINOS"/>
    <s v="APURIMAC"/>
    <x v="0"/>
    <x v="0"/>
    <s v="ANDARAPA"/>
    <n v="-13.528211593629999"/>
    <n v="-73.365753173830001"/>
    <n v="2977"/>
    <n v="1"/>
    <n v="17"/>
    <n v="12"/>
    <n v="5"/>
    <n v="0"/>
    <n v="0"/>
    <n v="0"/>
    <n v="15"/>
    <n v="12"/>
    <n v="3"/>
    <n v="0"/>
    <n v="0"/>
    <n v="0"/>
    <n v="36518"/>
    <n v="15222"/>
    <n v="0"/>
    <n v="51740"/>
    <x v="0"/>
    <n v="79.2"/>
    <n v="4000"/>
    <n v="6000"/>
    <n v="2000"/>
    <n v="0.5"/>
    <n v="16000"/>
    <n v="30000"/>
    <n v="14000"/>
    <n v="0.875"/>
    <n v="4000"/>
    <n v="5500"/>
    <n v="1500"/>
    <n v="0.375"/>
    <n v="16000"/>
    <n v="27500"/>
    <n v="11500"/>
    <n v="0.71875"/>
    <n v="47600"/>
    <n v="29698"/>
    <n v="29698"/>
    <n v="0.62390756302521011"/>
  </r>
  <r>
    <n v="17"/>
    <x v="0"/>
    <s v="0123-PDN-2015"/>
    <s v="COOPERATIVA AGRARIA LOS CHANKAS CAGCH"/>
    <s v="FORTALECIMIENTO DE CAPACIDADES PARA LA PRODUCCIÃ“N Y COMERCIALIZACIÃ“N ORGÃNICA DE LA QUINUA, KIWICHA Y CHIA EN LAS COMUNIDADES DE HUAMPICA, HUANCAS Y CHUSPI CHAMANA"/>
    <s v="PRODUCTOS ORGANICOS"/>
    <s v="QUINUA ORGÃNICA"/>
    <s v="APURIMAC"/>
    <x v="0"/>
    <x v="0"/>
    <s v="ANDARAPA"/>
    <n v="-13.528211593629999"/>
    <n v="-73.365753173830001"/>
    <n v="2977"/>
    <n v="1"/>
    <n v="55"/>
    <n v="31"/>
    <n v="24"/>
    <n v="1"/>
    <n v="4"/>
    <n v="5"/>
    <n v="34"/>
    <n v="28"/>
    <n v="6"/>
    <n v="1"/>
    <n v="2"/>
    <n v="3"/>
    <n v="70155"/>
    <n v="29495"/>
    <n v="0"/>
    <n v="99657.75"/>
    <x v="1"/>
    <n v="81.3"/>
    <n v="94000"/>
    <n v="130880"/>
    <n v="36880"/>
    <n v="0.39234042553191489"/>
    <n v="329000"/>
    <n v="536370"/>
    <n v="207370"/>
    <n v="0.63030395136778117"/>
    <n v="83083"/>
    <n v="116968"/>
    <n v="33885"/>
    <n v="0.40784516688131145"/>
    <n v="290791"/>
    <n v="478273"/>
    <n v="187482"/>
    <n v="0.64473109552909136"/>
    <n v="59700"/>
    <n v="43600"/>
    <n v="43600"/>
    <n v="0.73031825795644889"/>
  </r>
  <r>
    <n v="18"/>
    <x v="0"/>
    <s v="0164-PDN-2015"/>
    <s v="ASOCIACION LOS PRODUCTORES AGROPECUARIOS SEÃ‘OR DE HUANCA CHANTA UMACA"/>
    <s v="MEJORAMIENTO DE LA PRODUCCION Y COMERCIALIZACION DE CERDOS"/>
    <s v="PECUARIO"/>
    <s v="CRIANZA DE PORCINOS"/>
    <s v="APURIMAC"/>
    <x v="0"/>
    <x v="0"/>
    <s v="ANDARAPA"/>
    <n v="-13.528211593629999"/>
    <n v="-73.365753173830001"/>
    <n v="2977"/>
    <n v="1"/>
    <n v="27"/>
    <n v="14"/>
    <n v="13"/>
    <n v="2"/>
    <n v="3"/>
    <n v="5"/>
    <n v="18"/>
    <n v="14"/>
    <n v="4"/>
    <n v="2"/>
    <n v="0"/>
    <n v="2"/>
    <n v="36700"/>
    <n v="15300"/>
    <n v="0"/>
    <n v="52042.15"/>
    <x v="0"/>
    <n v="79.599999999999994"/>
    <n v="154"/>
    <n v="214"/>
    <n v="60"/>
    <n v="0.38961038961038963"/>
    <n v="43120"/>
    <n v="64200"/>
    <n v="21080"/>
    <n v="0.48886827458256027"/>
    <n v="50"/>
    <n v="75"/>
    <n v="25"/>
    <n v="0.5"/>
    <n v="14000"/>
    <n v="22500"/>
    <n v="8500"/>
    <n v="0.6071428571428571"/>
    <n v="57600"/>
    <n v="34831"/>
    <n v="34831"/>
    <n v="0.6047048611111111"/>
  </r>
  <r>
    <n v="19"/>
    <x v="0"/>
    <s v="0180-PDN-2015"/>
    <s v="ASOCIACION DE PRODUCTORES AGROPECUARIOS APU CUMO RUMI DE SANTA ROSA DE ILLAHUASI"/>
    <s v="MEJORAMIENTO DEL NIVEL DE PRODUCCION EN LA CRIANZA DE GANADO LECHERO Y SUS DERIVADOS"/>
    <s v="PECUARIO"/>
    <s v="CRIANZA DE VACUNOS"/>
    <s v="APURIMAC"/>
    <x v="0"/>
    <x v="0"/>
    <s v="ILLAHUASI"/>
    <n v="-13.52559280396"/>
    <n v="-73.343208312990001"/>
    <n v="3355"/>
    <n v="1"/>
    <n v="45"/>
    <n v="24"/>
    <n v="21"/>
    <n v="3"/>
    <n v="3"/>
    <n v="6"/>
    <n v="24"/>
    <n v="14"/>
    <n v="10"/>
    <n v="1"/>
    <n v="2"/>
    <n v="3"/>
    <n v="40900"/>
    <n v="17100"/>
    <n v="0"/>
    <n v="58000"/>
    <x v="0"/>
    <n v="75.7"/>
    <n v="500"/>
    <n v="720"/>
    <n v="220"/>
    <n v="0.44"/>
    <n v="5000"/>
    <n v="7920"/>
    <n v="2920"/>
    <n v="0.58399999999999996"/>
    <n v="450"/>
    <n v="600"/>
    <n v="150"/>
    <n v="0.33333333333333331"/>
    <n v="4500"/>
    <n v="6600"/>
    <n v="2100"/>
    <n v="0.46666666666666667"/>
    <n v="71800"/>
    <n v="37500"/>
    <n v="37500"/>
    <n v="0.52228412256267409"/>
  </r>
  <r>
    <n v="20"/>
    <x v="0"/>
    <s v="0181-PDN-2015"/>
    <s v="ASOCIACION CIVIL DE ILLAHUASI"/>
    <s v="MEJORAMIENTO DE LA PRODUCCION Y COMERCIALIZACION DE CUYES"/>
    <s v="PECUARIO"/>
    <s v="CRIANZA DE CUYES"/>
    <s v="APURIMAC"/>
    <x v="0"/>
    <x v="0"/>
    <s v="ILLAHUASI"/>
    <n v="-13.52559280396"/>
    <n v="-73.343208312990001"/>
    <n v="3355"/>
    <n v="1"/>
    <n v="34"/>
    <n v="18"/>
    <n v="16"/>
    <n v="5"/>
    <n v="5"/>
    <n v="10"/>
    <n v="17"/>
    <n v="17"/>
    <n v="0"/>
    <n v="4"/>
    <n v="0"/>
    <n v="4"/>
    <n v="38800"/>
    <n v="16200"/>
    <n v="0"/>
    <n v="55000"/>
    <x v="0"/>
    <n v="79.5"/>
    <n v="400"/>
    <n v="600"/>
    <n v="200"/>
    <n v="0.5"/>
    <n v="4800"/>
    <n v="8400"/>
    <n v="3600"/>
    <n v="0.75"/>
    <n v="340"/>
    <n v="450"/>
    <n v="110"/>
    <n v="0.3235294117647059"/>
    <n v="4080"/>
    <n v="6300"/>
    <n v="2220"/>
    <n v="0.54411764705882348"/>
    <n v="51850"/>
    <n v="36049"/>
    <n v="36049"/>
    <n v="0.69525554484088714"/>
  </r>
  <r>
    <n v="21"/>
    <x v="0"/>
    <s v="0185-PDN-2015"/>
    <s v="ASOCIACION DE PRODUCTORES AGROPECUARIOS TRES DE MAYO DE CCAYHUAYOCC"/>
    <s v="FORTALECIMIENTO DE LAS CAPACIDADES PARA LA PRODUCCIÃ“N Y COMERCIALIZACIÃ“N DE GANADO OVINO"/>
    <s v="PECUARIO"/>
    <s v="CRIANZA DE OVINOS"/>
    <s v="APURIMAC"/>
    <x v="0"/>
    <x v="0"/>
    <s v="CAYHUAYOC"/>
    <n v="-13.533082008359999"/>
    <n v="-73.369941711430002"/>
    <n v="2886"/>
    <n v="1"/>
    <n v="40"/>
    <n v="18"/>
    <n v="22"/>
    <n v="4"/>
    <n v="1"/>
    <n v="5"/>
    <n v="26"/>
    <n v="17"/>
    <n v="9"/>
    <n v="3"/>
    <n v="0"/>
    <n v="3"/>
    <n v="35300"/>
    <n v="14721"/>
    <n v="0"/>
    <n v="50021"/>
    <x v="0"/>
    <n v="74"/>
    <n v="780"/>
    <n v="1260"/>
    <n v="480"/>
    <n v="0.61538461538461542"/>
    <n v="1170"/>
    <n v="2100"/>
    <n v="930"/>
    <n v="0.79487179487179482"/>
    <n v="240"/>
    <n v="300"/>
    <n v="60"/>
    <n v="0.25"/>
    <n v="360"/>
    <n v="500"/>
    <n v="140"/>
    <n v="0.3888888888888889"/>
    <n v="97000"/>
    <n v="29417"/>
    <n v="29417"/>
    <n v="0.30326804123711343"/>
  </r>
  <r>
    <n v="22"/>
    <x v="0"/>
    <s v="0186-PDN-2015"/>
    <s v="ASOCIACIÓN DE PRODUCTORES AGROPECUARIOS Y CIVIL NUEVO HORIZONTE DE COTABAMBA"/>
    <s v="MEJORAMIENTO DE PRODUCCION DE LA CRIANZA DE GANADO VACUNO LECHERO Y LA COMERCIALIZACIÃ“N DE DERIVADOS LÃCTEOS"/>
    <s v="PECUARIO"/>
    <s v="CRIANZA DE VACUNOS"/>
    <s v="APURIMAC"/>
    <x v="0"/>
    <x v="0"/>
    <s v="COTABAMBA"/>
    <n v="-13.53894615173"/>
    <n v="-73.358070373540002"/>
    <n v="3238"/>
    <n v="1"/>
    <n v="33"/>
    <n v="15"/>
    <n v="18"/>
    <n v="1"/>
    <n v="2"/>
    <n v="3"/>
    <n v="19"/>
    <n v="14"/>
    <n v="5"/>
    <n v="1"/>
    <n v="0"/>
    <n v="1"/>
    <n v="45800"/>
    <n v="19200"/>
    <n v="0"/>
    <n v="65010.54"/>
    <x v="0"/>
    <n v="78.7"/>
    <n v="1440"/>
    <n v="2480"/>
    <n v="1040"/>
    <n v="0.72222222222222221"/>
    <n v="7680"/>
    <n v="14720"/>
    <n v="7040"/>
    <n v="0.91666666666666663"/>
    <n v="1440"/>
    <n v="1900"/>
    <n v="460"/>
    <n v="0.31944444444444442"/>
    <n v="7680"/>
    <n v="11600"/>
    <n v="3920"/>
    <n v="0.51041666666666663"/>
    <n v="59500"/>
    <n v="37710"/>
    <n v="37710"/>
    <n v="0.63378151260504201"/>
  </r>
  <r>
    <n v="23"/>
    <x v="0"/>
    <s v="0200-PDN-2015"/>
    <s v="ASOCIACION DE PRODUCTORES AGROPECUARIOS MOLIDOS THALIA"/>
    <s v="MEJORAMIENTO DE LA PRODUCCION Y COMERCIALIZACION DE HARINAS"/>
    <s v="AGROINDUSTRIA"/>
    <s v="ALIMENTOS PROCESADOS"/>
    <s v="APURIMAC"/>
    <x v="0"/>
    <x v="0"/>
    <s v="ANDARAPA"/>
    <n v="-13.528211593629999"/>
    <n v="-73.365753173830001"/>
    <n v="2977"/>
    <n v="1"/>
    <n v="14"/>
    <n v="4"/>
    <n v="10"/>
    <n v="0"/>
    <n v="2"/>
    <n v="2"/>
    <n v="11"/>
    <n v="2"/>
    <n v="9"/>
    <n v="0"/>
    <n v="2"/>
    <n v="2"/>
    <n v="38800"/>
    <n v="16200"/>
    <n v="0"/>
    <n v="55035.79"/>
    <x v="0"/>
    <n v="73.7"/>
    <n v="7500"/>
    <n v="10500"/>
    <n v="3000"/>
    <n v="0.4"/>
    <n v="37500"/>
    <n v="52500"/>
    <n v="15000"/>
    <n v="0.4"/>
    <n v="7250"/>
    <n v="10250"/>
    <n v="3000"/>
    <n v="0.41379310344827586"/>
    <n v="36250"/>
    <n v="51250"/>
    <n v="15000"/>
    <n v="0.41379310344827586"/>
    <n v="65000"/>
    <n v="36350"/>
    <n v="36350"/>
    <n v="0.5592307692307692"/>
  </r>
  <r>
    <n v="24"/>
    <x v="2"/>
    <s v="0209-PDNC-2015"/>
    <s v="ASOCIACION DE PRODUCTORES AGROPECUARIOS VALLE DE COCAS - HUAMPICA"/>
    <s v="FORTALECIMIENTO DE CAPACIDADES EN DERIVADOS DE KIWICHA"/>
    <s v="AGROINDUSTRIA"/>
    <s v="ALIMENTOS PROCESADOS"/>
    <s v="APURIMAC"/>
    <x v="0"/>
    <x v="0"/>
    <s v="HUAMPICA"/>
    <n v="-13.50648117065"/>
    <n v="-73.437934875490001"/>
    <n v="2641"/>
    <n v="1"/>
    <n v="17"/>
    <n v="10"/>
    <n v="7"/>
    <n v="2"/>
    <n v="0"/>
    <n v="2"/>
    <n v="13"/>
    <n v="10"/>
    <n v="3"/>
    <n v="2"/>
    <n v="0"/>
    <n v="2"/>
    <n v="35000"/>
    <n v="15000"/>
    <n v="0"/>
    <n v="50003.4"/>
    <x v="0"/>
    <n v="79.599999999999994"/>
    <n v="12500"/>
    <n v="15000"/>
    <n v="2500"/>
    <n v="0.2"/>
    <n v="43750"/>
    <n v="60000"/>
    <n v="16250"/>
    <n v="0.37142857142857144"/>
    <n v="12000"/>
    <n v="14000"/>
    <n v="2000"/>
    <n v="0.16666666666666666"/>
    <n v="42000"/>
    <n v="56000"/>
    <n v="14000"/>
    <n v="0.33333333333333331"/>
    <n v="47000"/>
    <n v="32900"/>
    <n v="32900"/>
    <n v="0.7"/>
  </r>
  <r>
    <n v="25"/>
    <x v="1"/>
    <s v="0009-PDT-2015"/>
    <s v="COMUNIDAD CAMPESINA SANTA CRUZ DE MILPO"/>
    <s v="FORTALECIMIENTO DE CAPACIDADES TECNICO PRODUCTIVAS EN LA CRIANZA Y MANEJO DE GANADO OVINO EN LA COMUNIDAD CAMPESINA DE SANTA CRUZ DE MILPO, DISTRITO DE CHINCHIHUASI, PROVINCIA DE CHURCAMPA, REGIÃ“N DE HUANCAVELICA"/>
    <s v="PRODUCCION Y PRODUCTIVIDAD"/>
    <s v="MANEJO Y SELECCIÃ“N GANADERA"/>
    <s v="HUANCAVELICA"/>
    <x v="2"/>
    <x v="4"/>
    <s v="MILPO"/>
    <n v="-12.489610672"/>
    <n v="-74.62223815918"/>
    <n v="3926"/>
    <n v="1"/>
    <n v="44"/>
    <n v="24"/>
    <n v="20"/>
    <n v="2"/>
    <n v="4"/>
    <n v="6"/>
    <n v="43"/>
    <n v="24"/>
    <n v="19"/>
    <n v="2"/>
    <n v="4"/>
    <n v="6"/>
    <n v="39440"/>
    <n v="0"/>
    <n v="9360"/>
    <n v="48888.14"/>
    <x v="0"/>
    <n v="77"/>
    <n v="0"/>
    <n v="0"/>
    <n v="0"/>
    <e v="#DIV/0!"/>
    <n v="0"/>
    <n v="0"/>
    <n v="0"/>
    <e v="#DIV/0!"/>
    <n v="0"/>
    <n v="0"/>
    <n v="0"/>
    <e v="#DIV/0!"/>
    <n v="0"/>
    <n v="0"/>
    <n v="0"/>
    <e v="#DIV/0!"/>
    <n v="69950"/>
    <n v="36120"/>
    <n v="36120"/>
    <n v="0.51636883488205865"/>
  </r>
  <r>
    <n v="26"/>
    <x v="2"/>
    <s v="0012-PDNC-2015"/>
    <s v="ASOCIACION DE PRODUCTORES AGROPECUARIOS E INDUSTRIALES NUEVO AMANECER DEL PERU"/>
    <s v="FORTALECIMIENTO DEL MANEJO DE ENGORDE Y COMERCIALIZACIÃ“N DE GANADO VACUNO"/>
    <s v="PECUARIO"/>
    <s v="CRIANZA DE VACUNOS"/>
    <s v="HUANCAVELICA"/>
    <x v="3"/>
    <x v="5"/>
    <s v="TAPO/TAPU"/>
    <n v="-12.26311206818"/>
    <n v="-74.96979522705"/>
    <n v="3361"/>
    <n v="1"/>
    <n v="14"/>
    <n v="9"/>
    <n v="5"/>
    <n v="1"/>
    <n v="2"/>
    <n v="3"/>
    <n v="14"/>
    <n v="9"/>
    <n v="5"/>
    <n v="1"/>
    <n v="2"/>
    <n v="3"/>
    <n v="35000"/>
    <n v="15000"/>
    <n v="0"/>
    <n v="50216.1"/>
    <x v="1"/>
    <n v="82"/>
    <n v="12"/>
    <n v="18"/>
    <n v="6"/>
    <n v="0.5"/>
    <n v="25200"/>
    <n v="46800"/>
    <n v="21600"/>
    <n v="0.8571428571428571"/>
    <n v="12"/>
    <n v="18"/>
    <n v="6"/>
    <n v="0.5"/>
    <n v="25200"/>
    <n v="46800"/>
    <n v="21600"/>
    <n v="0.8571428571428571"/>
    <n v="42800"/>
    <n v="33852"/>
    <n v="33852"/>
    <n v="0.79093457943925238"/>
  </r>
  <r>
    <n v="27"/>
    <x v="1"/>
    <s v="0017-PDT-2015"/>
    <s v="COMUNIDAD CAMPESINA DE VISTA ALEGRE"/>
    <s v="FORTALECIMIENTO DE CAPACIDADES PRODUCTIVAS DE CAMPO SEMILLERO DE PAPA NATIVA Y CRIANZA DE CUYES PARA LA SEGURIDAD ALIMENTARIA EN LA COMUNIDAD CAMPESINA DE VISTA ALEGRE, DISTRITO DE PAZOS, PROVINCIA DE TAYACAJA, REGION HUANCAVELICA"/>
    <s v="SEGURIDAD ALIMENTARIA"/>
    <s v="CULTIVOS TRADICIONALES ANDINOS"/>
    <s v="HUANCAVELICA"/>
    <x v="3"/>
    <x v="6"/>
    <s v="VISTA ALEGRE"/>
    <n v="-12.279049873350001"/>
    <n v="-75.064018249509999"/>
    <n v="3859"/>
    <n v="1"/>
    <n v="39"/>
    <n v="24"/>
    <n v="15"/>
    <n v="5"/>
    <n v="2"/>
    <n v="7"/>
    <n v="39"/>
    <n v="24"/>
    <n v="15"/>
    <n v="5"/>
    <n v="2"/>
    <n v="7"/>
    <n v="39440"/>
    <n v="0"/>
    <n v="9360"/>
    <n v="48989.33"/>
    <x v="1"/>
    <n v="88.5"/>
    <n v="0"/>
    <n v="0"/>
    <n v="0"/>
    <e v="#DIV/0!"/>
    <n v="0"/>
    <n v="0"/>
    <n v="0"/>
    <e v="#DIV/0!"/>
    <n v="0"/>
    <n v="0"/>
    <n v="0"/>
    <e v="#DIV/0!"/>
    <n v="0"/>
    <n v="0"/>
    <n v="0"/>
    <e v="#DIV/0!"/>
    <n v="17568"/>
    <n v="14130"/>
    <n v="14130"/>
    <n v="0.80430327868852458"/>
  </r>
  <r>
    <n v="28"/>
    <x v="1"/>
    <s v="0018-PDT-2015"/>
    <s v="COMUNIDAD CAMPESINA SAN JUAN DE CHILCAPATA"/>
    <s v="FORTALECIMIENTO DE CAPACIDADES EN EL MEJOR MANEJO DE LOS RECURSOS NATURALES E INSTALACIONES DE RIEGO TECNIFICADO EN LA COMUNIDAD CAMPESINA DE SAN JUAN DE CHILCAPATA, DISTRITO DE CHINCHIHUASI, PROVINCIA DE CHURCAMPA, REGIÃ“N DE HUANCAVELICA"/>
    <s v="MANEJO DE LOS RECURSOS NATURALES"/>
    <s v="MEJORAMIENTO DE SISTEMAS DE RIEGO POR ASPERSION"/>
    <s v="HUANCAVELICA"/>
    <x v="2"/>
    <x v="4"/>
    <s v="SAN JUAN DE CHILCAPATA"/>
    <n v="-12.51904964447"/>
    <n v="-74.576667785639998"/>
    <n v="3538"/>
    <n v="1"/>
    <n v="40"/>
    <n v="33"/>
    <n v="7"/>
    <n v="3"/>
    <n v="1"/>
    <n v="4"/>
    <n v="40"/>
    <n v="33"/>
    <n v="7"/>
    <n v="3"/>
    <n v="1"/>
    <n v="4"/>
    <n v="39440"/>
    <n v="0"/>
    <n v="9360"/>
    <n v="48897.25"/>
    <x v="0"/>
    <n v="75.900000000000006"/>
    <n v="0"/>
    <n v="0"/>
    <n v="0"/>
    <e v="#DIV/0!"/>
    <n v="0"/>
    <n v="0"/>
    <n v="0"/>
    <e v="#DIV/0!"/>
    <n v="0"/>
    <n v="0"/>
    <n v="0"/>
    <e v="#DIV/0!"/>
    <n v="0"/>
    <n v="0"/>
    <n v="0"/>
    <e v="#DIV/0!"/>
    <n v="47500"/>
    <n v="33160"/>
    <n v="33160"/>
    <n v="0.69810526315789478"/>
  </r>
  <r>
    <n v="29"/>
    <x v="2"/>
    <s v="0021-PDNC-2015"/>
    <s v="ASOCIACION DE PRODUCTORES AGROPECUARIOS GANACCUNA DE ANTIPHUASIN"/>
    <s v="MEJORAMIENTO DE PRODUCCION Y COMERCIALIZACION DE MAIZ CARHUAY"/>
    <s v="AGRICOLA"/>
    <s v="CEREALES ANDINOS"/>
    <s v="HUANCAVELICA"/>
    <x v="3"/>
    <x v="5"/>
    <s v="ANTIPAHUASIN"/>
    <n v="-12.20404338837"/>
    <n v="-74.956016540530001"/>
    <n v="3260"/>
    <n v="1"/>
    <n v="14"/>
    <n v="12"/>
    <n v="2"/>
    <n v="1"/>
    <n v="0"/>
    <n v="1"/>
    <n v="14"/>
    <n v="12"/>
    <n v="2"/>
    <n v="1"/>
    <n v="0"/>
    <n v="1"/>
    <n v="35000"/>
    <n v="15000"/>
    <n v="0"/>
    <n v="50088.6"/>
    <x v="0"/>
    <n v="79.599999999999994"/>
    <n v="4540"/>
    <n v="7865"/>
    <n v="3325"/>
    <n v="0.73237885462555063"/>
    <n v="11350"/>
    <n v="23595"/>
    <n v="12245"/>
    <n v="1.0788546255506608"/>
    <n v="3435"/>
    <n v="6682"/>
    <n v="3247"/>
    <n v="0.9452692867540029"/>
    <n v="8588"/>
    <n v="20046"/>
    <n v="11459"/>
    <n v="1.3341872380065207"/>
    <n v="4850"/>
    <n v="16480"/>
    <n v="16480"/>
    <n v="3.3979381443298968"/>
  </r>
  <r>
    <n v="30"/>
    <x v="2"/>
    <s v="0024-PDNC-2015"/>
    <s v="ASOCIACION DE PRODUCTORES AGROPECUARIOS BARRIO CENTRO DE PICHOS"/>
    <s v="MEJORAMIENTO DE LA PRODUCCION Y COMERCIALIZACION DE MAIZ AMILACEO"/>
    <s v="AGRICOLA"/>
    <s v="CEREALES ANDINOS"/>
    <s v="HUANCAVELICA"/>
    <x v="3"/>
    <x v="5"/>
    <s v="PICHUS"/>
    <n v="-12.23454380035"/>
    <n v="-74.939254760739999"/>
    <n v="3273"/>
    <n v="1"/>
    <n v="16"/>
    <n v="16"/>
    <n v="0"/>
    <n v="0"/>
    <n v="0"/>
    <n v="0"/>
    <n v="12"/>
    <n v="12"/>
    <n v="0"/>
    <n v="0"/>
    <n v="0"/>
    <n v="0"/>
    <n v="35000"/>
    <n v="15000"/>
    <n v="0"/>
    <n v="50091.3"/>
    <x v="0"/>
    <n v="78.5"/>
    <n v="3000"/>
    <n v="3500"/>
    <n v="500"/>
    <n v="0.16666666666666666"/>
    <n v="7500"/>
    <n v="10500"/>
    <n v="3000"/>
    <n v="0.4"/>
    <n v="2300"/>
    <n v="2800"/>
    <n v="500"/>
    <n v="0.21739130434782608"/>
    <n v="5750"/>
    <n v="8400"/>
    <n v="2650"/>
    <n v="0.46086956521739131"/>
    <n v="28500"/>
    <n v="19770"/>
    <n v="19770"/>
    <n v="0.69368421052631579"/>
  </r>
  <r>
    <n v="31"/>
    <x v="1"/>
    <s v="0025-PDT-2015"/>
    <s v="COMUNIDAD CAMPESINA DE TUPAC AMARU DE PISCOS"/>
    <s v="FORTALECIMIENTO DE CAPACIDADES PARA LA CRIANZA DE CUYES EN EL ANEXO DE TÃšPAC AMARU DE PISCOS, DE LA COMUNIDAD CAMPESINA DE TÃšPAC AMARU DE PISCOS CONSTANZA - SACHARACCAY, DISTRITO DE SAN PEDRO DE CORIS, PROVINCIA DE CHURCAMPA, REGIÃ“N HUANCAVELICA"/>
    <s v="PRODUCCION Y PRODUCTIVIDAD"/>
    <s v="MEJORAMIENTO GENETICO - ANIMALES MENORES"/>
    <s v="HUANCAVELICA"/>
    <x v="2"/>
    <x v="7"/>
    <s v="TUPAC AMARU DE PISCOS"/>
    <n v="-12.58676815033"/>
    <n v="-74.468658447270002"/>
    <n v="3730"/>
    <n v="2"/>
    <n v="41"/>
    <n v="22"/>
    <n v="19"/>
    <n v="4"/>
    <n v="6"/>
    <n v="10"/>
    <n v="41"/>
    <n v="22"/>
    <n v="19"/>
    <n v="4"/>
    <n v="6"/>
    <n v="10"/>
    <n v="39440"/>
    <n v="0.5"/>
    <n v="9360"/>
    <n v="48973.1"/>
    <x v="2"/>
    <n v="68.7"/>
    <n v="0"/>
    <n v="0"/>
    <n v="0"/>
    <e v="#DIV/0!"/>
    <n v="0"/>
    <n v="0"/>
    <n v="0"/>
    <e v="#DIV/0!"/>
    <n v="0"/>
    <n v="0"/>
    <n v="0"/>
    <e v="#DIV/0!"/>
    <n v="0"/>
    <n v="0"/>
    <n v="0"/>
    <e v="#DIV/0!"/>
    <n v="92425"/>
    <n v="38509"/>
    <n v="38509"/>
    <n v="0.41665133892345146"/>
  </r>
  <r>
    <n v="32"/>
    <x v="1"/>
    <s v="0026-PDT-2015"/>
    <s v="COMUNIDAD CAMPESINA OXAPATA"/>
    <s v="FORTALECIMIENTO DE CAPACIDADES TÃ‰CNICO PRODUCTIVAS EN LA CRIANZA Y MANEJO DE GANADO OVINO EN LA COMUNIDAD CAMPESINA DE OXAPATA, DISTRITO DE SAN PEDRO DE CORIS, PROVINCIA DE CHURCAMPA, REGIÃ“N HUANCAVELICA"/>
    <s v="PRODUCCION Y PRODUCTIVIDAD"/>
    <s v="MANEJO Y SELECCIÃ“N GANADERA"/>
    <s v="HUANCAVELICA"/>
    <x v="2"/>
    <x v="7"/>
    <s v="OXAPATA"/>
    <n v="-12.61434745789"/>
    <n v="-74.48201751709"/>
    <n v="3946"/>
    <n v="2"/>
    <n v="46"/>
    <n v="33"/>
    <n v="13"/>
    <n v="5"/>
    <n v="3"/>
    <n v="8"/>
    <n v="43"/>
    <n v="33"/>
    <n v="10"/>
    <n v="5"/>
    <n v="2"/>
    <n v="7"/>
    <n v="39440"/>
    <n v="22"/>
    <n v="9360"/>
    <n v="48909.01"/>
    <x v="0"/>
    <n v="76.7"/>
    <n v="0"/>
    <n v="0"/>
    <n v="0"/>
    <e v="#DIV/0!"/>
    <n v="0"/>
    <n v="0"/>
    <n v="0"/>
    <e v="#DIV/0!"/>
    <n v="0"/>
    <n v="0"/>
    <n v="0"/>
    <e v="#DIV/0!"/>
    <n v="0"/>
    <n v="0"/>
    <n v="0"/>
    <e v="#DIV/0!"/>
    <n v="71550"/>
    <n v="36200"/>
    <n v="36200"/>
    <n v="0.50593990216631723"/>
  </r>
  <r>
    <n v="33"/>
    <x v="0"/>
    <s v="0029-PDN-2015"/>
    <s v="ASOCIACION DE PRODUCTORES AGROPECUARIOS NUEVO AMANECER DE PARIAC"/>
    <s v="MEJORAMIENTO DE LA PRODUCCIÃ“N Y COMERCIALIZACIÃ“N DE LA PAPA NATIVA CON VALOR AGREGADO"/>
    <s v="AGRICOLA"/>
    <s v="TUBERCULOS ANDINOS"/>
    <s v="HUANCAVELICA"/>
    <x v="3"/>
    <x v="5"/>
    <s v="PARIAC"/>
    <n v="-12.23071956635"/>
    <n v="-74.90517425537"/>
    <n v="3362"/>
    <n v="1"/>
    <n v="34"/>
    <n v="25"/>
    <n v="9"/>
    <n v="7"/>
    <n v="4"/>
    <n v="11"/>
    <n v="26"/>
    <n v="21"/>
    <n v="5"/>
    <n v="7"/>
    <n v="2"/>
    <n v="9"/>
    <n v="42300"/>
    <n v="18004"/>
    <n v="0"/>
    <n v="60504.53"/>
    <x v="0"/>
    <n v="70"/>
    <n v="40000"/>
    <n v="100000"/>
    <n v="60000"/>
    <n v="1.5"/>
    <n v="40000"/>
    <n v="120000"/>
    <n v="80000"/>
    <n v="2"/>
    <n v="35000"/>
    <n v="100000"/>
    <n v="65000"/>
    <n v="1.8571428571428572"/>
    <n v="35000"/>
    <n v="120000"/>
    <n v="85000"/>
    <n v="2.4285714285714284"/>
    <n v="31750"/>
    <n v="31700"/>
    <n v="31700"/>
    <n v="0.99842519685039366"/>
  </r>
  <r>
    <n v="34"/>
    <x v="1"/>
    <s v="0034-PDT-2015"/>
    <s v="COMUNIDAD CAMPESINA DE CHUQUITAMBO"/>
    <s v="FORTALECIMIENTO DE LA SEGURIDAD ALIMENTARIA MEDIANTE EL APROVECHAMIENTO DEL DERIVADO DE LA PAPA, EN LA COMUNIDAD CAMPESINA DE CHUQUITAMBO, DISTRITO DE PAZOS, PROVINCIA DE TAYACAJA, REGIÃ“N HUANCAVELICA"/>
    <s v="SEGURIDAD ALIMENTARIA"/>
    <s v="CULTIVOS Y CRIANZAS DE SUBSISTENCIA"/>
    <s v="HUANCAVELICA"/>
    <x v="3"/>
    <x v="6"/>
    <s v="CHUQUITAMBO"/>
    <n v="-12.26974105835"/>
    <n v="-75.085731506350001"/>
    <n v="3933"/>
    <n v="1"/>
    <n v="52"/>
    <n v="37"/>
    <n v="15"/>
    <n v="5"/>
    <n v="0"/>
    <n v="5"/>
    <n v="52"/>
    <n v="37"/>
    <n v="15"/>
    <n v="5"/>
    <n v="0"/>
    <n v="5"/>
    <n v="39440"/>
    <n v="0"/>
    <n v="9360"/>
    <n v="48989.18"/>
    <x v="0"/>
    <n v="76.8"/>
    <n v="0"/>
    <n v="0"/>
    <n v="0"/>
    <e v="#DIV/0!"/>
    <n v="0"/>
    <n v="0"/>
    <n v="0"/>
    <e v="#DIV/0!"/>
    <n v="0"/>
    <n v="0"/>
    <n v="0"/>
    <e v="#DIV/0!"/>
    <n v="0"/>
    <n v="0"/>
    <n v="0"/>
    <e v="#DIV/0!"/>
    <n v="34000"/>
    <n v="29780"/>
    <n v="29780"/>
    <n v="0.87588235294117645"/>
  </r>
  <r>
    <n v="35"/>
    <x v="1"/>
    <s v="0039-PDT-2015"/>
    <s v="COMUNIDAD CAMPESINA DE TONGOS"/>
    <s v="FORTALECIMIENTO DE CAPACIDADES PARA EL APROVECHAMIENTO DEL RECURSO HÃDRICO A TRAVÃ‰S DE LA CRIANZA DE TRUCHAS EN LA COMUNIDAD CAMPESINA DE TONGOS, DISTRITO DE PAZOS, PROVINCIA DE TAYACAJA, REGIÃ“N HUANCAVELICA"/>
    <s v="MANEJO DE LOS RECURSOS NATURALES"/>
    <s v="USO DEL AGUA"/>
    <s v="HUANCAVELICA"/>
    <x v="3"/>
    <x v="6"/>
    <s v="TONGOS"/>
    <n v="-12.29960441589"/>
    <n v="-75.003311157230002"/>
    <n v="3650"/>
    <n v="1"/>
    <n v="60"/>
    <n v="44"/>
    <n v="16"/>
    <n v="5"/>
    <n v="6"/>
    <n v="11"/>
    <n v="60"/>
    <n v="44"/>
    <n v="16"/>
    <n v="5"/>
    <n v="6"/>
    <n v="11"/>
    <n v="39440"/>
    <n v="0"/>
    <n v="9360"/>
    <n v="48981.13"/>
    <x v="2"/>
    <n v="69"/>
    <n v="0"/>
    <n v="0"/>
    <n v="0"/>
    <e v="#DIV/0!"/>
    <n v="0"/>
    <n v="0"/>
    <n v="0"/>
    <e v="#DIV/0!"/>
    <n v="0"/>
    <n v="0"/>
    <n v="0"/>
    <e v="#DIV/0!"/>
    <n v="0"/>
    <n v="0"/>
    <n v="0"/>
    <e v="#DIV/0!"/>
    <n v="30000"/>
    <n v="22530"/>
    <n v="22530"/>
    <n v="0.751"/>
  </r>
  <r>
    <n v="36"/>
    <x v="1"/>
    <s v="0044-PDT-2015"/>
    <s v="COMUNIDAD CAMPESINA DE ILLPE JAMPATO PATIBAMBA"/>
    <s v="FORTALECIMIENTO DE CAPACIDADES PARA EL MANEJO DEL SISTEMA DE RIEGO TECNIFICADO EN EL ANEXO DE PATIBAMBA DE LA COMUNIDAD CAMPESINA DE ILLPE JAMPATO PATIBAMBA, DISTRITO DE PACHAMARCA, PROVINCIA DE CHURCAMPA, REGIÃ“N HUANCAVELICA"/>
    <s v="MANEJO DE LOS RECURSOS NATURALES"/>
    <s v="MEJORAMIENTO DE SISTEMAS DE RIEGO POR ASPERSION"/>
    <s v="HUANCAVELICA"/>
    <x v="2"/>
    <x v="8"/>
    <s v="PATIBAMBA"/>
    <n v="-12.55037021637"/>
    <n v="-74.419921875"/>
    <n v="2886"/>
    <n v="1"/>
    <n v="40"/>
    <n v="18"/>
    <n v="22"/>
    <n v="2"/>
    <n v="2"/>
    <n v="4"/>
    <n v="40"/>
    <n v="18"/>
    <n v="22"/>
    <n v="2"/>
    <n v="2"/>
    <n v="4"/>
    <n v="39440"/>
    <n v="20.5"/>
    <n v="9360"/>
    <n v="48996.17"/>
    <x v="0"/>
    <n v="79"/>
    <n v="0"/>
    <n v="0"/>
    <n v="0"/>
    <e v="#DIV/0!"/>
    <n v="0"/>
    <n v="0"/>
    <n v="0"/>
    <e v="#DIV/0!"/>
    <n v="0"/>
    <n v="0"/>
    <n v="0"/>
    <e v="#DIV/0!"/>
    <n v="0"/>
    <n v="0"/>
    <n v="0"/>
    <e v="#DIV/0!"/>
    <n v="62000"/>
    <n v="34460"/>
    <n v="34460"/>
    <n v="0.55580645161290321"/>
  </r>
  <r>
    <n v="37"/>
    <x v="1"/>
    <s v="0045-PDT-2015"/>
    <s v="COMUNIDAD CAMPESINA SAN PEDRO DE CORIS"/>
    <s v="FORTALECIMIENTO DE CAPACIDADES PARA EL MANEJO Y CONSERVACIÃ“N DE RECURSOS FORESTALES EN LA COMUNIDAD CAMPESINA DE SAN PEDRO DE CORIS"/>
    <s v="MANEJO DE LOS RECURSOS NATURALES"/>
    <s v="CONSERVACION DE SUELOS"/>
    <s v="HUANCAVELICA"/>
    <x v="2"/>
    <x v="7"/>
    <s v="SAN PEDRO DE CORIS"/>
    <n v="-12.578148841859999"/>
    <n v="-74.411750793460001"/>
    <n v="3562"/>
    <n v="2"/>
    <n v="42"/>
    <n v="19"/>
    <n v="23"/>
    <n v="2"/>
    <n v="2"/>
    <n v="4"/>
    <n v="42"/>
    <n v="19"/>
    <n v="23"/>
    <n v="2"/>
    <n v="2"/>
    <n v="4"/>
    <n v="39440"/>
    <n v="0"/>
    <n v="9360"/>
    <n v="48978.55"/>
    <x v="2"/>
    <n v="65.2"/>
    <n v="0"/>
    <n v="0"/>
    <n v="0"/>
    <e v="#DIV/0!"/>
    <n v="0"/>
    <n v="0"/>
    <n v="0"/>
    <e v="#DIV/0!"/>
    <n v="0"/>
    <n v="0"/>
    <n v="0"/>
    <e v="#DIV/0!"/>
    <n v="0"/>
    <n v="0"/>
    <n v="0"/>
    <e v="#DIV/0!"/>
    <n v="59800"/>
    <n v="40110"/>
    <n v="40110"/>
    <n v="0.67073578595317729"/>
  </r>
  <r>
    <n v="38"/>
    <x v="0"/>
    <s v="0049-PDN-2015"/>
    <s v="ASOCIACION DE PRODUCTORES AGROPECUARIOS CHANCHAS-MANTACRA"/>
    <s v="MEJORAMIENTO Y COMERCIALIZACIÃ“N DE FRUTALES ANDINOS USANDO TECNOLOGÃA ORGÃNICA Y CUBRIR MERCADOS LOCALES"/>
    <s v="AGRICOLA"/>
    <s v="FRUTALES"/>
    <s v="HUANCAVELICA"/>
    <x v="3"/>
    <x v="9"/>
    <s v="MANTACRA"/>
    <n v="-12.49867725372"/>
    <n v="-74.828247070309999"/>
    <n v="2733"/>
    <n v="2"/>
    <n v="25"/>
    <n v="14"/>
    <n v="11"/>
    <n v="2"/>
    <n v="4"/>
    <n v="6"/>
    <n v="20"/>
    <n v="12"/>
    <n v="8"/>
    <n v="2"/>
    <n v="4"/>
    <n v="6"/>
    <n v="61300"/>
    <n v="25700"/>
    <n v="0"/>
    <n v="87361.94"/>
    <x v="2"/>
    <n v="58.5"/>
    <n v="3800"/>
    <n v="6200"/>
    <n v="2400"/>
    <n v="0.63157894736842102"/>
    <n v="9500"/>
    <n v="18600"/>
    <n v="9100"/>
    <n v="0.95789473684210524"/>
    <n v="3780"/>
    <n v="6184"/>
    <n v="2404"/>
    <n v="0.63597883597883598"/>
    <n v="9450"/>
    <n v="18552"/>
    <n v="9102"/>
    <n v="0.96317460317460313"/>
    <n v="83820"/>
    <n v="57449"/>
    <n v="57449"/>
    <n v="0.68538534955857788"/>
  </r>
  <r>
    <n v="39"/>
    <x v="1"/>
    <s v="0053-PDT-2015"/>
    <s v="COMUNIDAD CAMPESINA DE CCARHUANCHO - SECTOR UCTUBAMBA"/>
    <s v="FORTALECIMIENTO DE CAPACIDADES PARA EL MANEJO DEL SISTEMA DE RIEGO PRESURIZADO EN EL SECTOR DE UTCUBAMBA DE LA COMUNIDAD CAMPESINA DE CCARHUANCHO, DISTRITO DE SAN PEDRO DE CORIS, PROVINCIA DE CHURCAMPA, REGIÃ“N HUANCAVELICA"/>
    <s v="MANEJO DE LOS RECURSOS NATURALES"/>
    <s v="MEJORAMIENTO DE SISTEMAS DE RIEGO POR ASPERSION"/>
    <s v="HUANCAVELICA"/>
    <x v="2"/>
    <x v="7"/>
    <s v="CARHUANCHO"/>
    <n v="-12.63207435608"/>
    <n v="-74.37799835205"/>
    <n v="3423"/>
    <n v="2"/>
    <n v="42"/>
    <n v="21"/>
    <n v="21"/>
    <n v="0"/>
    <n v="2"/>
    <n v="2"/>
    <n v="41"/>
    <n v="20"/>
    <n v="21"/>
    <n v="0"/>
    <n v="2"/>
    <n v="2"/>
    <n v="39440"/>
    <n v="0"/>
    <n v="9360"/>
    <n v="48971.27"/>
    <x v="0"/>
    <n v="75"/>
    <n v="0"/>
    <n v="0"/>
    <n v="0"/>
    <e v="#DIV/0!"/>
    <n v="0"/>
    <n v="0"/>
    <n v="0"/>
    <e v="#DIV/0!"/>
    <n v="0"/>
    <n v="0"/>
    <n v="0"/>
    <e v="#DIV/0!"/>
    <n v="0"/>
    <n v="0"/>
    <n v="0"/>
    <e v="#DIV/0!"/>
    <n v="61000"/>
    <n v="34460"/>
    <n v="34460"/>
    <n v="0.56491803278688524"/>
  </r>
  <r>
    <n v="40"/>
    <x v="1"/>
    <s v="0054-PDT-2015"/>
    <s v="COMUNIDAD CAMPESINA DE PAZOS"/>
    <s v="FORTALECIMIENTO DE CAPACIDADES TECNICAS PRODUCTIVAS CON LA INSTALACION DE INVERNADERO PARA PRODUCCION DE SEMILLA DE PAPA NATIVA EN LA COMUNIDAD CAMPESINA DE PAZOS, DISTRITO DE PAZOS, PROVINCIA DE TAYACAJA, REGION HUANCAVELICA"/>
    <s v="SEGURIDAD ALIMENTARIA"/>
    <s v="CULTIVOS TRADICIONALES ANDINOS"/>
    <s v="HUANCAVELICA"/>
    <x v="3"/>
    <x v="6"/>
    <s v="PAZOS"/>
    <n v="-12.259016036989999"/>
    <n v="-75.070495605470001"/>
    <n v="3800"/>
    <n v="1"/>
    <n v="44"/>
    <n v="32"/>
    <n v="12"/>
    <n v="2"/>
    <n v="0"/>
    <n v="2"/>
    <n v="44"/>
    <n v="32"/>
    <n v="12"/>
    <n v="2"/>
    <n v="0"/>
    <n v="2"/>
    <n v="39440"/>
    <n v="1"/>
    <n v="9360"/>
    <n v="48990.13"/>
    <x v="1"/>
    <n v="82.8"/>
    <n v="0"/>
    <n v="0"/>
    <n v="0"/>
    <e v="#DIV/0!"/>
    <n v="0"/>
    <n v="0"/>
    <n v="0"/>
    <e v="#DIV/0!"/>
    <n v="0"/>
    <n v="0"/>
    <n v="0"/>
    <e v="#DIV/0!"/>
    <n v="0"/>
    <n v="0"/>
    <n v="0"/>
    <e v="#DIV/0!"/>
    <n v="102500"/>
    <n v="68000"/>
    <n v="68000"/>
    <n v="0.6634146341463415"/>
  </r>
  <r>
    <n v="41"/>
    <x v="0"/>
    <s v="0071-PDN-2015"/>
    <s v="ASOCIACION DE PRODUCTORES AGROPECUARIOS PUEBLOS UNIDOS LA LIBERTAD - ACOSTAMBO"/>
    <s v="MEJORAMIENTO DE LA PRODUCCIÃ“N Y COMERCIALIZACIÃ“N DE PAPA NATIVA PIGMENTADA"/>
    <s v="AGRICOLA"/>
    <s v="TUBERCULOS ANDINOS"/>
    <s v="HUANCAVELICA"/>
    <x v="3"/>
    <x v="10"/>
    <s v="ACOSTAMBO"/>
    <n v="-12.36531734467"/>
    <n v="-75.054794311519998"/>
    <n v="3604"/>
    <n v="1"/>
    <n v="38"/>
    <n v="27"/>
    <n v="11"/>
    <n v="4"/>
    <n v="2"/>
    <n v="6"/>
    <n v="32"/>
    <n v="27"/>
    <n v="5"/>
    <n v="4"/>
    <n v="2"/>
    <n v="6"/>
    <n v="76100"/>
    <n v="35960"/>
    <n v="0"/>
    <n v="112482.25"/>
    <x v="0"/>
    <n v="77.5"/>
    <n v="72000"/>
    <n v="108000"/>
    <n v="36000"/>
    <n v="0.5"/>
    <n v="54000"/>
    <n v="118800"/>
    <n v="64800"/>
    <n v="1.2"/>
    <n v="71000"/>
    <n v="106000"/>
    <n v="35000"/>
    <n v="0.49295774647887325"/>
    <n v="53250"/>
    <n v="116600"/>
    <n v="63350"/>
    <n v="1.1896713615023473"/>
    <n v="107530"/>
    <n v="57630"/>
    <n v="57630"/>
    <n v="0.53594345763972839"/>
  </r>
  <r>
    <n v="42"/>
    <x v="0"/>
    <s v="0073-PDN-2015"/>
    <s v="ASOCIACION DE PRODUCTORES AGROPECUARIOS FORESTALES NUEVO AMANECER DE AHUAYCHA, TAYACAJA - HUANCAVELI"/>
    <s v="MEJORAMIENTO DE LA CRIANZA Y COMERCIALIZACIÃ“N DE CUY"/>
    <s v="PECUARIO"/>
    <s v="CRIANZA DE CUYES"/>
    <s v="HUANCAVELICA"/>
    <x v="3"/>
    <x v="11"/>
    <s v="AHUAYCHA"/>
    <n v="-12.407444953920001"/>
    <n v="-74.891426086430002"/>
    <n v="3262"/>
    <n v="1"/>
    <n v="15"/>
    <n v="8"/>
    <n v="7"/>
    <n v="2"/>
    <n v="2"/>
    <n v="4"/>
    <n v="15"/>
    <n v="8"/>
    <n v="7"/>
    <n v="2"/>
    <n v="2"/>
    <n v="4"/>
    <n v="42300"/>
    <n v="17700"/>
    <n v="0"/>
    <n v="60222.09"/>
    <x v="0"/>
    <n v="74"/>
    <n v="450"/>
    <n v="660"/>
    <n v="210"/>
    <n v="0.46666666666666667"/>
    <n v="8100"/>
    <n v="13200"/>
    <n v="5100"/>
    <n v="0.62962962962962965"/>
    <n v="250"/>
    <n v="550"/>
    <n v="300"/>
    <n v="1.2"/>
    <n v="4500"/>
    <n v="11000"/>
    <n v="6500"/>
    <n v="1.4444444444444444"/>
    <n v="53099"/>
    <n v="45631"/>
    <n v="45631"/>
    <n v="0.85935705003860718"/>
  </r>
  <r>
    <n v="43"/>
    <x v="0"/>
    <s v="0079-PDN-2015"/>
    <s v="ASOCIACION DE PRODUCTORES AGROPECUARIOS SAN CRISTOBAL DE SECCEPIRI"/>
    <s v="MEJORAMIENTO DE LA PRODUCCIÃ“N Y COMERCIALIZACIÃ“N DE PAPA NATIVA CON VALOR AGREGADO"/>
    <s v="AGRICOLA"/>
    <s v="TUBERCULOS ANDINOS"/>
    <s v="HUANCAVELICA"/>
    <x v="3"/>
    <x v="9"/>
    <s v="SECCEPIRI"/>
    <n v="-12.353337287900001"/>
    <n v="-74.867462158199999"/>
    <n v="3706"/>
    <n v="2"/>
    <n v="12"/>
    <n v="5"/>
    <n v="7"/>
    <n v="1"/>
    <n v="3"/>
    <n v="4"/>
    <n v="12"/>
    <n v="5"/>
    <n v="7"/>
    <n v="1"/>
    <n v="3"/>
    <n v="4"/>
    <n v="40200"/>
    <n v="17717"/>
    <n v="0"/>
    <n v="57972.2"/>
    <x v="0"/>
    <n v="74.5"/>
    <n v="16000"/>
    <n v="18000"/>
    <n v="2000"/>
    <n v="0.125"/>
    <n v="19200"/>
    <n v="27000"/>
    <n v="7800"/>
    <n v="0.40625"/>
    <n v="11410"/>
    <n v="13040"/>
    <n v="1630"/>
    <n v="0.14285714285714285"/>
    <n v="13692"/>
    <n v="19560"/>
    <n v="5868"/>
    <n v="0.42857142857142855"/>
    <n v="123994"/>
    <n v="109421"/>
    <n v="109421"/>
    <n v="0.88247011952191234"/>
  </r>
  <r>
    <n v="44"/>
    <x v="0"/>
    <s v="0096-PDN-2015"/>
    <s v="MUJERES EMPRENDEDORAS MANANTIAL DE VIDA - CHURAMPI"/>
    <s v="MEJORAMIENTO DE LA PRODUCCIÃ“N Y COMERCIALIZACIÃ“N DE DERIVADOS LÃCTEOS (YOGURT, MANJAR BLANCO Y QUESO)"/>
    <s v="AGROINDUSTRIA"/>
    <s v="DERIVADOS LACTEOS"/>
    <s v="HUANCAVELICA"/>
    <x v="3"/>
    <x v="5"/>
    <s v="CHURAMPI"/>
    <n v="-12.26135063171"/>
    <n v="-75.004653930659998"/>
    <n v="3369"/>
    <n v="1"/>
    <n v="12"/>
    <n v="6"/>
    <n v="6"/>
    <n v="1"/>
    <n v="2"/>
    <n v="3"/>
    <n v="4"/>
    <n v="4"/>
    <n v="0"/>
    <n v="1"/>
    <n v="0"/>
    <n v="1"/>
    <n v="33200"/>
    <n v="13800"/>
    <n v="0"/>
    <n v="47188.9"/>
    <x v="2"/>
    <n v="59"/>
    <n v="650"/>
    <n v="1200"/>
    <n v="550"/>
    <n v="0.84615384615384615"/>
    <n v="2925"/>
    <n v="6000"/>
    <n v="3075"/>
    <n v="1.0512820512820513"/>
    <n v="600"/>
    <n v="1000"/>
    <n v="400"/>
    <n v="0.66666666666666663"/>
    <n v="2700"/>
    <n v="5000"/>
    <n v="2300"/>
    <n v="0.85185185185185186"/>
    <n v="66000"/>
    <n v="31100"/>
    <n v="31100"/>
    <n v="0.47121212121212119"/>
  </r>
  <r>
    <n v="45"/>
    <x v="0"/>
    <s v="0120-PDN-2015"/>
    <s v="ASOCIACION DE PRODUCTORAS Y PRODUCTORES AGROPECUARIOS MOSSOC KAUSET DE MILPO"/>
    <s v="MEJORAMIENTO DE LA PRODUCCION Y COMERCIALIZACION DE QUESO ASOCIACION DE PRODUCTORAS Y PRODUCTORES AGROPECUARIOS MOSSOC KAUSET DE MILPO"/>
    <s v="AGROINDUSTRIA"/>
    <s v="DERIVADOS LACTEOS"/>
    <s v="HUANCAVELICA"/>
    <x v="2"/>
    <x v="4"/>
    <s v="MILPO"/>
    <n v="-12.489610672"/>
    <n v="-74.62223815918"/>
    <n v="3926"/>
    <n v="1"/>
    <n v="15"/>
    <n v="6"/>
    <n v="9"/>
    <n v="2"/>
    <n v="5"/>
    <n v="7"/>
    <n v="15"/>
    <n v="6"/>
    <n v="9"/>
    <n v="2"/>
    <n v="5"/>
    <n v="7"/>
    <n v="62800"/>
    <n v="26200"/>
    <n v="0"/>
    <n v="89293.25"/>
    <x v="2"/>
    <n v="68.5"/>
    <n v="300"/>
    <n v="1500"/>
    <n v="1200"/>
    <n v="4"/>
    <n v="3600"/>
    <n v="19500"/>
    <n v="15900"/>
    <n v="4.416666666666667"/>
    <n v="220"/>
    <n v="1440"/>
    <n v="1220"/>
    <n v="5.5454545454545459"/>
    <n v="2640"/>
    <n v="18720"/>
    <n v="16080"/>
    <n v="6.0909090909090908"/>
    <n v="103000"/>
    <n v="60100"/>
    <n v="60100"/>
    <n v="0.58349514563106797"/>
  </r>
  <r>
    <n v="46"/>
    <x v="0"/>
    <s v="0127-PDN-2015"/>
    <s v="ASOCIACION DE PRODUCTORES AGROPECUARIOS DE PAZOS"/>
    <s v="MEJORAMIENTO DE LA PRODUCCION Y COMERCIALIZACION DE LA PAPA NATIVA CON VALORA AGREGADO EN LA ASOCIACION DE PRODUCTORES DE PAZOS DEL GOP ASOCIACION DE PRODUCTORES AGROPECUARIOS DE PAZOS DE LA LOCALIDAD DE MULLACA PROVINCIA DE TAYACAJA Y DEPARTAMENTO DE HUANCAVELICA"/>
    <s v="PRODUCTOS ORGANICOS"/>
    <s v="PAPA NATIVA"/>
    <s v="HUANCAVELICA"/>
    <x v="3"/>
    <x v="6"/>
    <s v="PAZOS"/>
    <n v="-12.259016036989999"/>
    <n v="-75.070495605470001"/>
    <n v="3800"/>
    <n v="1"/>
    <n v="34"/>
    <n v="22"/>
    <n v="12"/>
    <n v="2"/>
    <n v="4"/>
    <n v="6"/>
    <n v="34"/>
    <n v="22"/>
    <n v="12"/>
    <n v="2"/>
    <n v="4"/>
    <n v="6"/>
    <n v="44500"/>
    <n v="19255.900000000001"/>
    <n v="0"/>
    <n v="63976.76"/>
    <x v="0"/>
    <n v="70.5"/>
    <n v="16000"/>
    <n v="18300"/>
    <n v="2300"/>
    <n v="0.14374999999999999"/>
    <n v="19200"/>
    <n v="25620"/>
    <n v="6420"/>
    <n v="0.33437499999999998"/>
    <n v="14900"/>
    <n v="17030"/>
    <n v="2130"/>
    <n v="0.1429530201342282"/>
    <n v="17880"/>
    <n v="23842"/>
    <n v="5962"/>
    <n v="0.33344519015659957"/>
    <n v="73000"/>
    <n v="30388"/>
    <n v="30388"/>
    <n v="0.41627397260273974"/>
  </r>
  <r>
    <n v="47"/>
    <x v="0"/>
    <s v="0128-PDN-2015"/>
    <s v="ASOCIACION DE PRODUCTORES AGROPECUARIOS CHONGOPUQUIO PERUVISA - ACOSTAMBO"/>
    <s v="MEJORAMIENTO DE LA PRODUCCION Y COMERCIALIZACION DE PORCINOS DE LA ASOCIACION DE PRODUCTORES AGROPECUARIOS CHONGOPUQUIO PERUVISA - ACOSTAMBO, DISTRITO DE ACOSTAMBO, PROVINCIA DE TAYACAJA Y REGION HUANCAVELICA"/>
    <s v="PECUARIO"/>
    <s v="CRIANZA DE PORCINOS"/>
    <s v="HUANCAVELICA"/>
    <x v="3"/>
    <x v="10"/>
    <s v="ACOSTAMBO"/>
    <n v="-12.36531734467"/>
    <n v="-75.054794311519998"/>
    <n v="3604"/>
    <n v="1"/>
    <n v="20"/>
    <n v="11"/>
    <n v="9"/>
    <n v="2"/>
    <n v="2"/>
    <n v="4"/>
    <n v="20"/>
    <n v="11"/>
    <n v="9"/>
    <n v="2"/>
    <n v="2"/>
    <n v="4"/>
    <n v="45200"/>
    <n v="20706"/>
    <n v="0"/>
    <n v="66116.95"/>
    <x v="1"/>
    <n v="81"/>
    <n v="750"/>
    <n v="1750"/>
    <n v="1000"/>
    <n v="1.3333333333333333"/>
    <n v="3000"/>
    <n v="14000"/>
    <n v="11000"/>
    <n v="3.6666666666666665"/>
    <n v="675"/>
    <n v="1750"/>
    <n v="1075"/>
    <n v="1.5925925925925926"/>
    <n v="2700"/>
    <n v="14000"/>
    <n v="11300"/>
    <n v="4.1851851851851851"/>
    <n v="39900"/>
    <n v="43200"/>
    <n v="43200"/>
    <n v="1.0827067669172932"/>
  </r>
  <r>
    <n v="48"/>
    <x v="0"/>
    <s v="0129-PDN-2015"/>
    <s v="ASOCIACION DE PRODUCTORES Y PRODUCTORAS AGROPECUARIOS NUEVA FORTALEZA DE ACLLAHUASI"/>
    <s v="FORTALECIMIENTO INTEGRAL DE GANADO VACUNO LECHERO EN LA ASOCIACION DE PRODUCTORES Y PRODUCTORAS AGROPECUARIOS NUEVA FORTALEZA DE ACLLAHUASI, DE LA COMUNIDAD DE ACLLAHUASI, DISTRITO DE PAUCARBAMBA, PROVINCIA DE CHURCAMPA Y DEPARTAMENTO DE HUANCAVELICA"/>
    <s v="PECUARIO"/>
    <s v="CRIANZA DE VACUNOS"/>
    <s v="HUANCAVELICA"/>
    <x v="2"/>
    <x v="12"/>
    <s v="ACLLAHUASI"/>
    <n v="-12.547144889829999"/>
    <n v="-74.52742767334"/>
    <n v="3428"/>
    <n v="1"/>
    <n v="21"/>
    <n v="11"/>
    <n v="10"/>
    <n v="2"/>
    <n v="1"/>
    <n v="3"/>
    <n v="21"/>
    <n v="11"/>
    <n v="10"/>
    <n v="2"/>
    <n v="1"/>
    <n v="3"/>
    <n v="42300"/>
    <n v="17950"/>
    <n v="0"/>
    <n v="60492.5"/>
    <x v="2"/>
    <n v="69.5"/>
    <n v="300"/>
    <n v="600"/>
    <n v="300"/>
    <n v="1"/>
    <n v="3600"/>
    <n v="9000"/>
    <n v="5400"/>
    <n v="1.5"/>
    <n v="300"/>
    <n v="550"/>
    <n v="250"/>
    <n v="0.83333333333333337"/>
    <n v="3600"/>
    <n v="8250"/>
    <n v="4650"/>
    <n v="1.2916666666666667"/>
    <n v="43000"/>
    <n v="38145"/>
    <n v="38145"/>
    <n v="0.88709302325581396"/>
  </r>
  <r>
    <n v="49"/>
    <x v="0"/>
    <s v="0130-PDN-2015"/>
    <s v="ASOCIACION DE PRODUCTORES AGROGANADERO DEL CENTRO POBLADO DE SANTA ROSA DE PINCO-PAUCARBAMBA"/>
    <s v="MEJORAMIENTO DE LA CAPACIDAD PRODUCTIVA DEL MAIZ TIPO ASTILLA AMARILLO PARA LA ASOCIACION DE PRODUCTORES AGROGANADERO DEL CENTRO POBLADO DE SANTA ROSA DE PINCO DEL DISTRITO DE PAUCARBAMBA, PROVINCIA DE CHURCAMPA DEPARTAMENTO DE HUANCAVELICA"/>
    <s v="AGRICOLA"/>
    <s v="CEREALES ANDINOS"/>
    <s v="HUANCAVELICA"/>
    <x v="2"/>
    <x v="12"/>
    <s v="SANTA ROSA DE PINCO"/>
    <n v="-12.540030479429999"/>
    <n v="-74.544479370120001"/>
    <n v="3150"/>
    <n v="1"/>
    <n v="30"/>
    <n v="13"/>
    <n v="17"/>
    <n v="3"/>
    <n v="5"/>
    <n v="8"/>
    <n v="30"/>
    <n v="13"/>
    <n v="17"/>
    <n v="3"/>
    <n v="5"/>
    <n v="8"/>
    <n v="79600"/>
    <n v="33400"/>
    <n v="0"/>
    <n v="113419.48"/>
    <x v="0"/>
    <n v="76.599999999999994"/>
    <n v="5000"/>
    <n v="9000"/>
    <n v="4000"/>
    <n v="0.8"/>
    <n v="7500"/>
    <n v="18000"/>
    <n v="10500"/>
    <n v="1.4"/>
    <n v="4500"/>
    <n v="9000"/>
    <n v="4500"/>
    <n v="1"/>
    <n v="6750"/>
    <n v="18000"/>
    <n v="11250"/>
    <n v="1.6666666666666667"/>
    <n v="76080"/>
    <n v="75200"/>
    <n v="75200"/>
    <n v="0.98843322818086221"/>
  </r>
  <r>
    <n v="50"/>
    <x v="0"/>
    <s v="0135-PDN-2015"/>
    <s v="ASOCIACION DE PRODUCTORES NUEVO AMANECER CENTRO B"/>
    <s v="MEJORAMIENTO DE LA PRODUCCION Y COMERCIALIZACION DE MAIZ CON VALOR AGREGADO EN LA ASOCIACION DE PRODUCTORES NUEVO AMANECER B"/>
    <s v="AGRICOLA"/>
    <s v="CEREALES ANDINOS"/>
    <s v="HUANCAVELICA"/>
    <x v="3"/>
    <x v="5"/>
    <s v="PICHUS"/>
    <n v="-12.23454380035"/>
    <n v="-74.939254760739999"/>
    <n v="3273"/>
    <n v="1"/>
    <n v="31"/>
    <n v="18"/>
    <n v="13"/>
    <n v="2"/>
    <n v="4"/>
    <n v="6"/>
    <n v="11"/>
    <n v="10"/>
    <n v="1"/>
    <n v="0"/>
    <n v="1"/>
    <n v="1"/>
    <n v="61300"/>
    <n v="25800"/>
    <n v="0"/>
    <n v="87388.01"/>
    <x v="0"/>
    <n v="70.5"/>
    <n v="2500"/>
    <n v="3200"/>
    <n v="700"/>
    <n v="0.28000000000000003"/>
    <n v="6250"/>
    <n v="9600"/>
    <n v="3350"/>
    <n v="0.53600000000000003"/>
    <n v="2000"/>
    <n v="3000"/>
    <n v="1000"/>
    <n v="0.5"/>
    <n v="5000"/>
    <n v="9000"/>
    <n v="4000"/>
    <n v="0.8"/>
    <n v="30000"/>
    <n v="28800"/>
    <n v="28800"/>
    <n v="0.96"/>
  </r>
  <r>
    <n v="51"/>
    <x v="0"/>
    <s v="0137-PDN-2015"/>
    <s v="ASOCIACION DE PRODUCTORES AGROPECUARIOS Y AGROPECUARIAS VILLA ANDABAMBA"/>
    <s v="MEJORAMIENTO DE LA PRODUCCION Y COMERCIALIZACION DE LA LECHE FRESCA Y DERIVADOS (QUESO Y YOGURT)"/>
    <s v="AGROINDUSTRIA"/>
    <s v="DERIVADOS LACTEOS"/>
    <s v="HUANCAVELICA"/>
    <x v="2"/>
    <x v="12"/>
    <s v="PAUCARBAMBA"/>
    <n v="-12.553586959840001"/>
    <n v="-74.52986907959"/>
    <n v="3381"/>
    <n v="1"/>
    <n v="25"/>
    <n v="10"/>
    <n v="15"/>
    <n v="2"/>
    <n v="1"/>
    <n v="3"/>
    <n v="25"/>
    <n v="10"/>
    <n v="15"/>
    <n v="2"/>
    <n v="1"/>
    <n v="3"/>
    <n v="61300"/>
    <n v="25950"/>
    <n v="0"/>
    <n v="87615.09"/>
    <x v="2"/>
    <n v="68.5"/>
    <n v="280"/>
    <n v="580"/>
    <n v="300"/>
    <n v="1.0714285714285714"/>
    <n v="3360"/>
    <n v="8120"/>
    <n v="4760"/>
    <n v="1.4166666666666667"/>
    <n v="260"/>
    <n v="520"/>
    <n v="260"/>
    <n v="1"/>
    <n v="3120"/>
    <n v="7280"/>
    <n v="4160"/>
    <n v="1.3333333333333333"/>
    <n v="54800"/>
    <n v="53730"/>
    <n v="53730"/>
    <n v="0.98047445255474452"/>
  </r>
  <r>
    <n v="52"/>
    <x v="0"/>
    <s v="0138-PDN-2015"/>
    <s v="ASOCIACION DE PRODUCTORES AGROPECUARIOS Y DERIVADOS SANTA ROSA DE LIMA DEL ANEXO SANTA ROSA"/>
    <s v="MEJORAMIENTO DE LA PRODUCCION Y COMERCIALIZACION DE LACTEOS &quot;QUESO Y YOGURT&quot;"/>
    <s v="AGROINDUSTRIA"/>
    <s v="DERIVADOS LACTEOS"/>
    <s v="HUANCAVELICA"/>
    <x v="3"/>
    <x v="13"/>
    <s v="SANTA ROSA"/>
    <n v="-12.40627670288"/>
    <n v="-74.91310119629"/>
    <n v="3268"/>
    <n v="1"/>
    <n v="21"/>
    <n v="11"/>
    <n v="10"/>
    <n v="4"/>
    <n v="4"/>
    <n v="8"/>
    <n v="21"/>
    <n v="11"/>
    <n v="10"/>
    <n v="4"/>
    <n v="4"/>
    <n v="8"/>
    <n v="59900"/>
    <n v="28260"/>
    <n v="0"/>
    <n v="88441.11"/>
    <x v="1"/>
    <n v="81"/>
    <n v="3000"/>
    <n v="6200"/>
    <n v="3200"/>
    <n v="1.0666666666666667"/>
    <n v="36000"/>
    <n v="93000"/>
    <n v="57000"/>
    <n v="1.5833333333333333"/>
    <n v="2600"/>
    <n v="6000"/>
    <n v="3400"/>
    <n v="1.3076923076923077"/>
    <n v="31200"/>
    <n v="90000"/>
    <n v="58800"/>
    <n v="1.8846153846153846"/>
    <n v="55300"/>
    <n v="53500"/>
    <n v="53500"/>
    <n v="0.96745027124773963"/>
  </r>
  <r>
    <n v="53"/>
    <x v="0"/>
    <s v="0139-PDN-2015"/>
    <s v="ASOCIACION DE PRODUCTORES Y PRODUCTORAS AGROPECUARIAS MANANTIALES DE HUAYHUARA"/>
    <s v="MEJORAMIENTO DE LA PRODUCCION Y COMERCIALIZACION DE LA LECHE Y DERIVADOS (QUESO Y YOGURT)"/>
    <s v="AGROINDUSTRIA"/>
    <s v="DERIVADOS LACTEOS"/>
    <s v="HUANCAVELICA"/>
    <x v="2"/>
    <x v="12"/>
    <s v="UCHUY CRUZ"/>
    <n v="-12.567100524900001"/>
    <n v="-74.511344909670001"/>
    <n v="3742"/>
    <n v="1"/>
    <n v="23"/>
    <n v="16"/>
    <n v="7"/>
    <n v="0"/>
    <n v="1"/>
    <n v="1"/>
    <n v="23"/>
    <n v="16"/>
    <n v="7"/>
    <n v="0"/>
    <n v="1"/>
    <n v="1"/>
    <n v="61300"/>
    <n v="25950"/>
    <n v="0"/>
    <n v="87660.85"/>
    <x v="0"/>
    <n v="70"/>
    <n v="200"/>
    <n v="500"/>
    <n v="300"/>
    <n v="1.5"/>
    <n v="2400"/>
    <n v="7500"/>
    <n v="5100"/>
    <n v="2.125"/>
    <n v="200"/>
    <n v="450"/>
    <n v="250"/>
    <n v="1.25"/>
    <n v="2400"/>
    <n v="6750"/>
    <n v="4350"/>
    <n v="1.8125"/>
    <n v="62600"/>
    <n v="58583"/>
    <n v="58583"/>
    <n v="0.935830670926517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3" firstHeaderRow="1" firstDataRow="2" firstDataCol="1"/>
  <pivotFields count="53">
    <pivotField showAll="0"/>
    <pivotField axis="axisCol" dataField="1" multipleItemSelectionAllowed="1" showAll="0">
      <items count="4">
        <item x="0"/>
        <item x="2"/>
        <item x="1"/>
        <item t="default"/>
      </items>
    </pivotField>
    <pivotField showAll="0"/>
    <pivotField showAll="0"/>
    <pivotField showAll="0"/>
    <pivotField showAll="0"/>
    <pivotField showAll="0"/>
    <pivotField showAll="0" defaultSubtotal="0"/>
    <pivotField axis="axisRow" showAll="0">
      <items count="5">
        <item x="0"/>
        <item x="1"/>
        <item x="2"/>
        <item x="3"/>
        <item t="default"/>
      </items>
    </pivotField>
    <pivotField axis="axisRow" showAll="0">
      <items count="15">
        <item x="10"/>
        <item x="13"/>
        <item x="11"/>
        <item x="0"/>
        <item x="4"/>
        <item x="3"/>
        <item x="5"/>
        <item x="2"/>
        <item x="1"/>
        <item x="8"/>
        <item x="9"/>
        <item x="12"/>
        <item x="6"/>
        <item x="7"/>
        <item t="default"/>
      </items>
    </pivotField>
    <pivotField showAll="0" defaultSubtotal="0"/>
    <pivotField showAll="0"/>
    <pivotField showAll="0"/>
    <pivotField numFmtId="3"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numFmtId="4" showAll="0" defaultSubtotal="0"/>
    <pivotField showAll="0" defaultSubtotal="0"/>
    <pivotField showAll="0" defaultSubtotal="0"/>
    <pivotField numFmtId="4" showAll="0" defaultSubtotal="0"/>
    <pivotField multipleItemSelectionAllowed="1" showAll="0">
      <items count="4">
        <item x="0"/>
        <item x="1"/>
        <item x="2"/>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s>
  <rowFields count="2">
    <field x="8"/>
    <field x="9"/>
  </rowFields>
  <rowItems count="19">
    <i>
      <x/>
    </i>
    <i r="1">
      <x v="3"/>
    </i>
    <i r="1">
      <x v="7"/>
    </i>
    <i>
      <x v="1"/>
    </i>
    <i r="1">
      <x v="5"/>
    </i>
    <i r="1">
      <x v="8"/>
    </i>
    <i>
      <x v="2"/>
    </i>
    <i r="1">
      <x v="4"/>
    </i>
    <i r="1">
      <x v="9"/>
    </i>
    <i r="1">
      <x v="11"/>
    </i>
    <i r="1">
      <x v="13"/>
    </i>
    <i>
      <x v="3"/>
    </i>
    <i r="1">
      <x/>
    </i>
    <i r="1">
      <x v="1"/>
    </i>
    <i r="1">
      <x v="2"/>
    </i>
    <i r="1">
      <x v="6"/>
    </i>
    <i r="1">
      <x v="10"/>
    </i>
    <i r="1">
      <x v="12"/>
    </i>
    <i t="grand">
      <x/>
    </i>
  </rowItems>
  <colFields count="1">
    <field x="1"/>
  </colFields>
  <colItems count="4">
    <i>
      <x/>
    </i>
    <i>
      <x v="1"/>
    </i>
    <i>
      <x v="2"/>
    </i>
    <i t="grand">
      <x/>
    </i>
  </colItems>
  <dataFields count="1">
    <dataField name="Cuenta de TIPO" fld="1" subtotal="count" baseField="0" baseItem="0"/>
  </dataFields>
  <formats count="9">
    <format dxfId="243">
      <pivotArea type="all" dataOnly="0" outline="0" fieldPosition="0"/>
    </format>
    <format dxfId="242">
      <pivotArea outline="0" collapsedLevelsAreSubtotals="1" fieldPosition="0"/>
    </format>
    <format dxfId="241">
      <pivotArea type="origin" dataOnly="0" labelOnly="1" outline="0" fieldPosition="0"/>
    </format>
    <format dxfId="240">
      <pivotArea field="1" type="button" dataOnly="0" labelOnly="1" outline="0" axis="axisCol" fieldPosition="0"/>
    </format>
    <format dxfId="239">
      <pivotArea field="31" type="button" dataOnly="0" labelOnly="1" outline="0"/>
    </format>
    <format dxfId="238">
      <pivotArea field="-2" type="button" dataOnly="0" labelOnly="1" outline="0" axis="axisValues" fieldPosition="0"/>
    </format>
    <format dxfId="237">
      <pivotArea type="topRight" dataOnly="0" labelOnly="1" outline="0" fieldPosition="0"/>
    </format>
    <format dxfId="236">
      <pivotArea dataOnly="0" labelOnly="1" grandRow="1" outline="0" fieldPosition="0"/>
    </format>
    <format dxfId="23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J29" firstHeaderRow="1" firstDataRow="3" firstDataCol="1"/>
  <pivotFields count="53">
    <pivotField showAll="0">
      <items count="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t="default"/>
      </items>
    </pivotField>
    <pivotField axis="axisCol" dataField="1" multipleItemSelectionAllowed="1" showAll="0">
      <items count="4">
        <item x="0"/>
        <item x="2"/>
        <item x="1"/>
        <item t="default"/>
      </items>
    </pivotField>
    <pivotField showAll="0"/>
    <pivotField showAll="0"/>
    <pivotField showAll="0"/>
    <pivotField showAll="0"/>
    <pivotField axis="axisRow" showAll="0">
      <items count="24">
        <item x="10"/>
        <item x="11"/>
        <item x="20"/>
        <item x="2"/>
        <item x="6"/>
        <item x="13"/>
        <item x="0"/>
        <item x="9"/>
        <item x="15"/>
        <item x="18"/>
        <item x="8"/>
        <item x="21"/>
        <item x="5"/>
        <item x="3"/>
        <item x="14"/>
        <item x="16"/>
        <item x="17"/>
        <item x="22"/>
        <item x="4"/>
        <item x="12"/>
        <item x="7"/>
        <item x="1"/>
        <item x="19"/>
        <item t="default"/>
      </items>
    </pivotField>
    <pivotField axis="axisCol" showAll="0">
      <items count="3">
        <item x="0"/>
        <item x="1"/>
        <item t="default"/>
      </items>
    </pivotField>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 showAll="0"/>
    <pivotField showAll="0"/>
    <pivotField showAll="0"/>
    <pivotField numFmtId="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s>
  <rowFields count="1">
    <field x="6"/>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2">
    <field x="7"/>
    <field x="1"/>
  </colFields>
  <colItems count="9">
    <i>
      <x/>
      <x/>
    </i>
    <i r="1">
      <x v="1"/>
    </i>
    <i r="1">
      <x v="2"/>
    </i>
    <i t="default">
      <x/>
    </i>
    <i>
      <x v="1"/>
      <x/>
    </i>
    <i r="1">
      <x v="1"/>
    </i>
    <i r="1">
      <x v="2"/>
    </i>
    <i t="default">
      <x v="1"/>
    </i>
    <i t="grand">
      <x/>
    </i>
  </colItems>
  <dataFields count="1">
    <dataField name="Cuenta de TIP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RUBRO">
  <location ref="A36:J62" firstHeaderRow="1" firstDataRow="3" firstDataCol="1"/>
  <pivotFields count="53">
    <pivotField showAll="0">
      <items count="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t="default"/>
      </items>
    </pivotField>
    <pivotField axis="axisCol" dataField="1" multipleItemSelectionAllowed="1" showAll="0">
      <items count="4">
        <item n="APURIMAC" x="0"/>
        <item x="2"/>
        <item x="1"/>
        <item t="default"/>
      </items>
    </pivotField>
    <pivotField showAll="0"/>
    <pivotField showAll="0"/>
    <pivotField showAll="0"/>
    <pivotField showAll="0"/>
    <pivotField axis="axisRow" showAll="0">
      <items count="24">
        <item x="10"/>
        <item x="11"/>
        <item x="20"/>
        <item x="2"/>
        <item x="6"/>
        <item x="13"/>
        <item x="0"/>
        <item x="9"/>
        <item x="15"/>
        <item x="18"/>
        <item x="8"/>
        <item x="21"/>
        <item x="5"/>
        <item x="3"/>
        <item x="14"/>
        <item x="16"/>
        <item x="17"/>
        <item x="22"/>
        <item x="4"/>
        <item x="12"/>
        <item x="7"/>
        <item x="1"/>
        <item x="19"/>
        <item t="default"/>
      </items>
    </pivotField>
    <pivotField axis="axisCol" showAll="0">
      <items count="3">
        <item n="PLAN DE NEGOCIO" x="0"/>
        <item x="1"/>
        <item t="default"/>
      </items>
    </pivotField>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 showAll="0"/>
    <pivotField showAll="0"/>
    <pivotField showAll="0"/>
    <pivotField numFmtId="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s>
  <rowFields count="1">
    <field x="6"/>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2">
    <field x="7"/>
    <field x="1"/>
  </colFields>
  <colItems count="9">
    <i>
      <x/>
      <x/>
    </i>
    <i r="1">
      <x v="1"/>
    </i>
    <i r="1">
      <x v="2"/>
    </i>
    <i t="default">
      <x/>
    </i>
    <i>
      <x v="1"/>
      <x/>
    </i>
    <i r="1">
      <x v="1"/>
    </i>
    <i r="1">
      <x v="2"/>
    </i>
    <i t="default">
      <x v="1"/>
    </i>
    <i t="grand">
      <x/>
    </i>
  </colItems>
  <dataFields count="1">
    <dataField name="Cuenta de TIPO"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J30" firstHeaderRow="1" firstDataRow="3" firstDataCol="1"/>
  <pivotFields count="14">
    <pivotField showAll="0"/>
    <pivotField showAll="0"/>
    <pivotField showAll="0"/>
    <pivotField showAll="0"/>
    <pivotField axis="axisRow" showAll="0">
      <items count="27">
        <item x="23"/>
        <item x="15"/>
        <item x="18"/>
        <item x="22"/>
        <item x="17"/>
        <item x="5"/>
        <item x="2"/>
        <item x="1"/>
        <item x="12"/>
        <item x="10"/>
        <item x="20"/>
        <item x="8"/>
        <item x="14"/>
        <item m="1" x="25"/>
        <item x="16"/>
        <item x="9"/>
        <item x="19"/>
        <item x="13"/>
        <item x="4"/>
        <item x="6"/>
        <item x="21"/>
        <item x="7"/>
        <item x="3"/>
        <item x="11"/>
        <item m="1" x="24"/>
        <item x="0"/>
        <item t="default"/>
      </items>
    </pivotField>
    <pivotField axis="axisCol" showAll="0">
      <items count="5">
        <item x="0"/>
        <item x="1"/>
        <item x="2"/>
        <item x="3"/>
        <item t="default"/>
      </items>
    </pivotField>
    <pivotField showAll="0"/>
    <pivotField showAll="0"/>
    <pivotField axis="axisCol" dataField="1" showAll="0">
      <items count="3">
        <item x="0"/>
        <item x="1"/>
        <item t="default"/>
      </items>
    </pivotField>
    <pivotField showAll="0"/>
    <pivotField showAll="0"/>
    <pivotField showAll="0"/>
    <pivotField showAll="0"/>
    <pivotField showAll="0"/>
  </pivotFields>
  <rowFields count="1">
    <field x="4"/>
  </rowFields>
  <rowItems count="25">
    <i>
      <x/>
    </i>
    <i>
      <x v="1"/>
    </i>
    <i>
      <x v="2"/>
    </i>
    <i>
      <x v="3"/>
    </i>
    <i>
      <x v="4"/>
    </i>
    <i>
      <x v="5"/>
    </i>
    <i>
      <x v="6"/>
    </i>
    <i>
      <x v="7"/>
    </i>
    <i>
      <x v="8"/>
    </i>
    <i>
      <x v="9"/>
    </i>
    <i>
      <x v="10"/>
    </i>
    <i>
      <x v="11"/>
    </i>
    <i>
      <x v="12"/>
    </i>
    <i>
      <x v="14"/>
    </i>
    <i>
      <x v="15"/>
    </i>
    <i>
      <x v="16"/>
    </i>
    <i>
      <x v="17"/>
    </i>
    <i>
      <x v="18"/>
    </i>
    <i>
      <x v="19"/>
    </i>
    <i>
      <x v="20"/>
    </i>
    <i>
      <x v="21"/>
    </i>
    <i>
      <x v="22"/>
    </i>
    <i>
      <x v="23"/>
    </i>
    <i>
      <x v="25"/>
    </i>
    <i t="grand">
      <x/>
    </i>
  </rowItems>
  <colFields count="2">
    <field x="8"/>
    <field x="5"/>
  </colFields>
  <colItems count="9">
    <i>
      <x/>
      <x/>
    </i>
    <i r="1">
      <x v="2"/>
    </i>
    <i t="default">
      <x/>
    </i>
    <i>
      <x v="1"/>
      <x/>
    </i>
    <i r="1">
      <x v="1"/>
    </i>
    <i r="1">
      <x v="2"/>
    </i>
    <i r="1">
      <x v="3"/>
    </i>
    <i t="default">
      <x v="1"/>
    </i>
    <i t="grand">
      <x/>
    </i>
  </colItems>
  <dataFields count="1">
    <dataField name="Cuenta de COMPONENTE"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B5:BB59" totalsRowCount="1" headerRowDxfId="234" dataDxfId="233" tableBorderDxfId="232">
  <autoFilter ref="B5:BB58">
    <filterColumn colId="1">
      <filters>
        <filter val="PDN"/>
        <filter val="PDNC"/>
      </filters>
    </filterColumn>
  </autoFilter>
  <sortState ref="B10:AY62">
    <sortCondition ref="B9:B62"/>
  </sortState>
  <tableColumns count="53">
    <tableColumn id="2" name="Nº" dataDxfId="231" totalsRowDxfId="230"/>
    <tableColumn id="3" name="TIPO" dataDxfId="229" totalsRowDxfId="228"/>
    <tableColumn id="4" name="Nº CONTRATO" dataDxfId="227" totalsRowDxfId="226"/>
    <tableColumn id="5" name="NOMBRE DE LA ORGANIZACION" dataDxfId="225" totalsRowDxfId="224"/>
    <tableColumn id="6" name="DENOMINACION DEL PLAN" dataDxfId="223" totalsRowDxfId="222"/>
    <tableColumn id="7" name="RUBRO" dataDxfId="221" totalsRowDxfId="220"/>
    <tableColumn id="8" name="LINEA" dataDxfId="219" totalsRowDxfId="218"/>
    <tableColumn id="9" name="DPTO" dataDxfId="217" totalsRowDxfId="216"/>
    <tableColumn id="10" name="PROVINCIA" dataDxfId="215" totalsRowDxfId="214"/>
    <tableColumn id="11" name="DISTRITO" dataDxfId="213" totalsRowDxfId="212"/>
    <tableColumn id="12" name="C.POBLADO" dataDxfId="211" totalsRowDxfId="210"/>
    <tableColumn id="13" name="LATITUD" dataDxfId="209" totalsRowDxfId="208"/>
    <tableColumn id="14" name="LONGITUD" dataDxfId="207" totalsRowDxfId="206"/>
    <tableColumn id="15" name="ALTITUD" dataDxfId="205" totalsRowDxfId="204"/>
    <tableColumn id="16" name="QUINTIL" dataDxfId="203" totalsRowDxfId="202"/>
    <tableColumn id="17" name="Nº SOCIOS" dataDxfId="201" totalsRowDxfId="200"/>
    <tableColumn id="18" name="Nº _x000a_SOCIOS_x000a_ (M)" dataDxfId="199" totalsRowDxfId="198"/>
    <tableColumn id="19" name="Nº SOCIOS (F)" dataDxfId="197" totalsRowDxfId="196"/>
    <tableColumn id="20" name="Nº SOCIO JOVEN(M)" dataDxfId="195" totalsRowDxfId="194"/>
    <tableColumn id="21" name="Nº SOCIO JOVEN(F)" dataDxfId="193" totalsRowDxfId="192"/>
    <tableColumn id="49" name="TOTAL JÓVENES" dataDxfId="191" totalsRowDxfId="190">
      <calculatedColumnFormula>Tabla1[[#This Row],[Nº SOCIO JOVEN(M)]]+Tabla1[[#This Row],[Nº SOCIO JOVEN(F)]]</calculatedColumnFormula>
    </tableColumn>
    <tableColumn id="22" name="FAMILIAS" totalsRowFunction="sum" dataDxfId="189" totalsRowDxfId="188" dataCellStyle="Millares"/>
    <tableColumn id="23" name="Nº FAMILIAS(M)" totalsRowFunction="sum" dataDxfId="187" totalsRowDxfId="186" dataCellStyle="Millares"/>
    <tableColumn id="24" name="Nº FAMILIAS(F)" totalsRowFunction="sum" dataDxfId="185" totalsRowDxfId="184" dataCellStyle="Millares"/>
    <tableColumn id="25" name="Nº FAMILIA JOVEN(M)" totalsRowFunction="custom" dataDxfId="183" totalsRowDxfId="182" dataCellStyle="Millares">
      <totalsRowFormula>SUBTOTAL(109,Tabla1[Nº FAMILIAS(M)])</totalsRowFormula>
    </tableColumn>
    <tableColumn id="26" name="Nº FAMILIA JOVEN(F)" totalsRowFunction="custom" dataDxfId="181" totalsRowDxfId="180" dataCellStyle="Millares">
      <totalsRowFormula>SUBTOTAL(109,Tabla1[Nº FAMILIAS(F)])</totalsRowFormula>
    </tableColumn>
    <tableColumn id="50" name="TOTAL FAMILIAS JÓVENES" totalsRowFunction="custom" dataDxfId="179" totalsRowDxfId="178" dataCellStyle="Millares">
      <calculatedColumnFormula>Tabla1[[#This Row],[Nº FAMILIA JOVEN(M)]]+Tabla1[[#This Row],[Nº FAMILIA JOVEN(F)]]</calculatedColumnFormula>
      <totalsRowFormula>SUBTOTAL(109,Tabla1[Nº FAMILIA JOVEN(M)])</totalsRowFormula>
    </tableColumn>
    <tableColumn id="52" name="Aliados II" dataDxfId="177" totalsRowDxfId="176"/>
    <tableColumn id="51" name="En efectivo" dataDxfId="175" totalsRowDxfId="174"/>
    <tableColumn id="53" name="En especie" dataDxfId="173" totalsRowDxfId="172"/>
    <tableColumn id="1" name="TOTAL" dataDxfId="171" totalsRowDxfId="170"/>
    <tableColumn id="27" name="CALIFICACION" dataDxfId="169" totalsRowDxfId="168" dataCellStyle="Millares"/>
    <tableColumn id="28" name="_x000a_Puntaje" dataDxfId="167" totalsRowDxfId="166" dataCellStyle="Millares"/>
    <tableColumn id="29" name="Sin proyecto" totalsRowFunction="sum" dataDxfId="165" totalsRowDxfId="164" dataCellStyle="Millares"/>
    <tableColumn id="30" name="Con proyecto" totalsRowFunction="sum" dataDxfId="163" totalsRowDxfId="162" dataCellStyle="Millares"/>
    <tableColumn id="31" name="Incremento" totalsRowFunction="sum" dataDxfId="161" totalsRowDxfId="160" dataCellStyle="Millares"/>
    <tableColumn id="32" name="INCREMENTO (%)" totalsRowFunction="custom" dataDxfId="159" totalsRowDxfId="158" dataCellStyle="Porcentaje">
      <calculatedColumnFormula>(AJ6-AI6)/AI6</calculatedColumnFormula>
      <totalsRowFormula>Tabla1[[#Totals],[Incremento]]/Tabla1[[#Totals],[Sin proyecto]]</totalsRowFormula>
    </tableColumn>
    <tableColumn id="33" name="Sin proyecto2" totalsRowFunction="sum" dataDxfId="157" totalsRowDxfId="156" dataCellStyle="Millares"/>
    <tableColumn id="34" name="Con proyecto3" totalsRowFunction="sum" dataDxfId="155" totalsRowDxfId="154" dataCellStyle="Millares"/>
    <tableColumn id="35" name="Incremento (S/)" totalsRowFunction="sum" dataDxfId="153" totalsRowDxfId="152" dataCellStyle="Millares"/>
    <tableColumn id="36" name="INCREMENTO (%)4" totalsRowFunction="custom" dataDxfId="151" totalsRowDxfId="150" dataCellStyle="Porcentaje">
      <calculatedColumnFormula>(AN6-AM6)/AM6</calculatedColumnFormula>
      <totalsRowFormula>Tabla1[[#Totals],[Incremento (S/)]]/Tabla1[[#Totals],[Sin proyecto2]]</totalsRowFormula>
    </tableColumn>
    <tableColumn id="37" name="Sin proyecto5" totalsRowFunction="sum" dataDxfId="149" totalsRowDxfId="148" dataCellStyle="Millares"/>
    <tableColumn id="38" name="Con proyecto6" totalsRowFunction="sum" dataDxfId="147" totalsRowDxfId="146" dataCellStyle="Millares"/>
    <tableColumn id="39" name="Incremento (S/)7" totalsRowFunction="sum" dataDxfId="145" totalsRowDxfId="144" dataCellStyle="Millares"/>
    <tableColumn id="40" name="INCREMENTO (%)8" totalsRowFunction="custom" dataDxfId="143" totalsRowDxfId="142" dataCellStyle="Porcentaje">
      <calculatedColumnFormula>(AR6-AQ6)/AQ6</calculatedColumnFormula>
      <totalsRowFormula>Tabla1[[#Totals],[Incremento (S/)7]]/Tabla1[[#Totals],[Sin proyecto5]]</totalsRowFormula>
    </tableColumn>
    <tableColumn id="41" name="Sin proyecto9" totalsRowFunction="sum" dataDxfId="141" totalsRowDxfId="140" dataCellStyle="Millares"/>
    <tableColumn id="42" name="Con proyecto10" totalsRowFunction="sum" dataDxfId="139" totalsRowDxfId="138" dataCellStyle="Millares"/>
    <tableColumn id="43" name="Incremento (S/)11" totalsRowFunction="sum" dataDxfId="137" totalsRowDxfId="136" dataCellStyle="Millares"/>
    <tableColumn id="44" name="INCREMENTO (%)12" totalsRowFunction="custom" dataDxfId="135" totalsRowDxfId="134" dataCellStyle="Porcentaje">
      <calculatedColumnFormula>(AV6-AU6)/AU6</calculatedColumnFormula>
      <totalsRowFormula>Tabla1[[#Totals],[Incremento (S/)11]]/Tabla1[[#Totals],[Sin proyecto9]]</totalsRowFormula>
    </tableColumn>
    <tableColumn id="45" name="Sin proyecto13" totalsRowFunction="sum" dataDxfId="133" totalsRowDxfId="132" dataCellStyle="Millares"/>
    <tableColumn id="46" name="Con proyecto14" totalsRowFunction="sum" dataDxfId="131" totalsRowDxfId="130" dataCellStyle="Millares"/>
    <tableColumn id="47" name="Incremento (S/)15" totalsRowFunction="sum" dataDxfId="129" totalsRowDxfId="128" dataCellStyle="Millares"/>
    <tableColumn id="48" name="Incremento (%)16" totalsRowFunction="custom" dataDxfId="127" totalsRowDxfId="126" dataCellStyle="Porcentaje">
      <calculatedColumnFormula>AZ6/AY6</calculatedColumnFormula>
      <totalsRowFormula>Tabla1[[#Totals],[Incremento (S/)15]]/Tabla1[[#Totals],[Sin proyecto13]]</totalsRowFormula>
    </tableColumn>
  </tableColumns>
  <tableStyleInfo name="TableStyleMedium2" showFirstColumn="0" showLastColumn="0" showRowStripes="1" showColumnStripes="0"/>
</table>
</file>

<file path=xl/tables/table2.xml><?xml version="1.0" encoding="utf-8"?>
<table xmlns="http://schemas.openxmlformats.org/spreadsheetml/2006/main" id="4" name="Tabla15" displayName="Tabla15" ref="A3:BA57" totalsRowCount="1" headerRowDxfId="125" dataDxfId="124" totalsRowDxfId="122" tableBorderDxfId="123">
  <sortState ref="A6:AX58">
    <sortCondition ref="A9:A62"/>
  </sortState>
  <tableColumns count="53">
    <tableColumn id="2" name="Nº" dataDxfId="121" totalsRowDxfId="120"/>
    <tableColumn id="3" name="TIPO" dataDxfId="119" totalsRowDxfId="118"/>
    <tableColumn id="4" name="Nº CONTRATO" dataDxfId="117" totalsRowDxfId="116"/>
    <tableColumn id="5" name="NOMBRE DE LA ORGANIZACION" dataDxfId="115" totalsRowDxfId="114"/>
    <tableColumn id="6" name="DENOMINACION DEL PLAN" dataDxfId="113" totalsRowDxfId="112"/>
    <tableColumn id="7" name="RUBRO" dataDxfId="111" totalsRowDxfId="110"/>
    <tableColumn id="8" name="LINEA" dataDxfId="109" totalsRowDxfId="108"/>
    <tableColumn id="9" name="DPTO" dataDxfId="107" totalsRowDxfId="106"/>
    <tableColumn id="10" name="PROVINCIA" dataDxfId="105" totalsRowDxfId="104"/>
    <tableColumn id="11" name="DISTRITO" dataDxfId="103" totalsRowDxfId="102"/>
    <tableColumn id="12" name="C.POBLADO" dataDxfId="101" totalsRowDxfId="100"/>
    <tableColumn id="13" name="LATITUD" dataDxfId="99" totalsRowDxfId="98"/>
    <tableColumn id="14" name="LONGITUD" dataDxfId="97" totalsRowDxfId="96"/>
    <tableColumn id="15" name="ALTITUD" dataDxfId="95" totalsRowDxfId="94"/>
    <tableColumn id="16" name="QUINTIL" dataDxfId="93" totalsRowDxfId="92"/>
    <tableColumn id="17" name="Nº SOCIOS" dataDxfId="91" totalsRowDxfId="90"/>
    <tableColumn id="18" name="Nº _x000a_SOCIOS_x000a_ (M)" dataDxfId="89" totalsRowDxfId="88"/>
    <tableColumn id="19" name="Nº SOCIOS (F)" dataDxfId="87" totalsRowDxfId="86"/>
    <tableColumn id="20" name="Nº SOCIO JOVEN(M)" dataDxfId="85" totalsRowDxfId="84"/>
    <tableColumn id="21" name="Nº SOCIO JOVEN(F)" dataDxfId="83" totalsRowDxfId="82"/>
    <tableColumn id="49" name="TOTAL JÓVENES" dataDxfId="81" totalsRowDxfId="80">
      <calculatedColumnFormula>Tabla15[[#This Row],[Nº SOCIO JOVEN(M)]]+Tabla15[[#This Row],[Nº SOCIO JOVEN(F)]]</calculatedColumnFormula>
    </tableColumn>
    <tableColumn id="22" name="FAMILIAS" totalsRowFunction="sum" dataDxfId="79" totalsRowDxfId="78" dataCellStyle="Millares"/>
    <tableColumn id="23" name="Nº FAMILIAS(M)" totalsRowFunction="sum" dataDxfId="77" totalsRowDxfId="76" dataCellStyle="Millares"/>
    <tableColumn id="24" name="Nº FAMILIAS(F)" totalsRowFunction="sum" dataDxfId="75" totalsRowDxfId="74" dataCellStyle="Millares"/>
    <tableColumn id="25" name="Nº FAMILIA JOVEN(M)" totalsRowFunction="custom" dataDxfId="73" totalsRowDxfId="72" dataCellStyle="Millares">
      <totalsRowFormula>SUBTOTAL(109,Tabla15[Nº FAMILIAS(M)])</totalsRowFormula>
    </tableColumn>
    <tableColumn id="26" name="Nº FAMILIA JOVEN(F)" totalsRowFunction="custom" dataDxfId="71" totalsRowDxfId="70" dataCellStyle="Millares">
      <totalsRowFormula>SUBTOTAL(109,Tabla15[Nº FAMILIAS(F)])</totalsRowFormula>
    </tableColumn>
    <tableColumn id="50" name="TOTAL FAMILIAS JÓVENES" totalsRowFunction="custom" dataDxfId="69" totalsRowDxfId="68" dataCellStyle="Millares">
      <calculatedColumnFormula>Tabla15[[#This Row],[Nº FAMILIA JOVEN(M)]]+Tabla15[[#This Row],[Nº FAMILIA JOVEN(F)]]</calculatedColumnFormula>
      <totalsRowFormula>SUBTOTAL(109,Tabla15[Nº FAMILIA JOVEN(M)])</totalsRowFormula>
    </tableColumn>
    <tableColumn id="52" name="Aliados II" dataDxfId="67" totalsRowDxfId="66"/>
    <tableColumn id="51" name="En efectivo" dataDxfId="65" totalsRowDxfId="64"/>
    <tableColumn id="53" name="En especie" dataDxfId="63" totalsRowDxfId="62"/>
    <tableColumn id="1" name="TOTAL" dataDxfId="61" totalsRowDxfId="60"/>
    <tableColumn id="27" name="CALIFICACION" dataDxfId="59" totalsRowDxfId="58" dataCellStyle="Millares"/>
    <tableColumn id="28" name="_x000a_Puntaje" dataDxfId="57" totalsRowDxfId="56" dataCellStyle="Millares"/>
    <tableColumn id="29" name="Sin proyecto" totalsRowFunction="sum" dataDxfId="55" totalsRowDxfId="54" dataCellStyle="Millares"/>
    <tableColumn id="30" name="Con proyecto" totalsRowFunction="sum" dataDxfId="53" totalsRowDxfId="52" dataCellStyle="Millares"/>
    <tableColumn id="31" name="Incremento" totalsRowFunction="sum" dataDxfId="51" totalsRowDxfId="50" dataCellStyle="Millares"/>
    <tableColumn id="32" name="INCREMENTO (%)" totalsRowFunction="custom" dataDxfId="49" totalsRowDxfId="48" dataCellStyle="Porcentaje">
      <calculatedColumnFormula>(AI4-AH4)/AH4</calculatedColumnFormula>
      <totalsRowFormula>Tabla15[[#Totals],[Incremento]]/Tabla15[[#Totals],[Sin proyecto]]</totalsRowFormula>
    </tableColumn>
    <tableColumn id="33" name="Sin proyecto2" totalsRowFunction="sum" dataDxfId="47" totalsRowDxfId="46" dataCellStyle="Millares"/>
    <tableColumn id="34" name="Con proyecto3" totalsRowFunction="sum" dataDxfId="45" totalsRowDxfId="44" dataCellStyle="Millares"/>
    <tableColumn id="35" name="Incremento (S/)" totalsRowFunction="sum" dataDxfId="43" totalsRowDxfId="42" dataCellStyle="Millares"/>
    <tableColumn id="36" name="INCREMENTO (%)4" totalsRowFunction="custom" dataDxfId="41" totalsRowDxfId="40" dataCellStyle="Porcentaje">
      <calculatedColumnFormula>(AM4-AL4)/AL4</calculatedColumnFormula>
      <totalsRowFormula>Tabla15[[#Totals],[Incremento (S/)]]/Tabla15[[#Totals],[Sin proyecto2]]</totalsRowFormula>
    </tableColumn>
    <tableColumn id="37" name="Sin proyecto5" totalsRowFunction="sum" dataDxfId="39" totalsRowDxfId="38" dataCellStyle="Millares"/>
    <tableColumn id="38" name="Con proyecto6" totalsRowFunction="sum" dataDxfId="37" totalsRowDxfId="36" dataCellStyle="Millares"/>
    <tableColumn id="39" name="Incremento (S/)7" totalsRowFunction="sum" dataDxfId="35" totalsRowDxfId="34" dataCellStyle="Millares"/>
    <tableColumn id="40" name="INCREMENTO (%)8" totalsRowFunction="custom" dataDxfId="33" totalsRowDxfId="32" dataCellStyle="Porcentaje">
      <calculatedColumnFormula>(AQ4-AP4)/AP4</calculatedColumnFormula>
      <totalsRowFormula>Tabla15[[#Totals],[Incremento (S/)7]]/Tabla15[[#Totals],[Sin proyecto5]]</totalsRowFormula>
    </tableColumn>
    <tableColumn id="41" name="Sin proyecto9" totalsRowFunction="sum" dataDxfId="31" totalsRowDxfId="30" dataCellStyle="Millares"/>
    <tableColumn id="42" name="Con proyecto10" totalsRowFunction="sum" dataDxfId="29" totalsRowDxfId="28" dataCellStyle="Millares"/>
    <tableColumn id="43" name="Incremento (S/)11" totalsRowFunction="sum" dataDxfId="27" totalsRowDxfId="26" dataCellStyle="Millares"/>
    <tableColumn id="44" name="INCREMENTO (%)12" totalsRowFunction="custom" dataDxfId="25" totalsRowDxfId="24" dataCellStyle="Porcentaje">
      <calculatedColumnFormula>(AU4-AT4)/AT4</calculatedColumnFormula>
      <totalsRowFormula>Tabla15[[#Totals],[Incremento (S/)11]]/Tabla15[[#Totals],[Sin proyecto9]]</totalsRowFormula>
    </tableColumn>
    <tableColumn id="45" name="Sin proyecto13" totalsRowFunction="sum" dataDxfId="23" totalsRowDxfId="22" dataCellStyle="Millares"/>
    <tableColumn id="46" name="Con proyecto14" totalsRowFunction="sum" dataDxfId="21" totalsRowDxfId="20" dataCellStyle="Millares"/>
    <tableColumn id="47" name="Incremento (S/)15" totalsRowFunction="sum" dataDxfId="19" totalsRowDxfId="18" dataCellStyle="Millares"/>
    <tableColumn id="48" name="Incremento (%)16" totalsRowFunction="custom" dataDxfId="17" totalsRowDxfId="16" dataCellStyle="Porcentaje">
      <calculatedColumnFormula>AY4/AX4</calculatedColumnFormula>
      <totalsRowFormula>Tabla15[[#Totals],[Incremento (S/)15]]/Tabla15[[#Totals],[Sin proyecto13]]</totalsRowFormula>
    </tableColumn>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B2:H37" totalsRowShown="0" headerRowDxfId="15">
  <autoFilter ref="B2:H37"/>
  <tableColumns count="7">
    <tableColumn id="1" name="Columna1" dataDxfId="14"/>
    <tableColumn id="2" name="Incentivo" dataDxfId="13"/>
    <tableColumn id="3" name="Organización" dataDxfId="12"/>
    <tableColumn id="4" name="Cadena" dataDxfId="11"/>
    <tableColumn id="5" name="Región" dataDxfId="10"/>
    <tableColumn id="6" name="Provincia" dataDxfId="9"/>
    <tableColumn id="7" name="Distrito" dataDxfId="8"/>
  </tableColumns>
  <tableStyleInfo name="TableStyleMedium2" showFirstColumn="0" showLastColumn="0" showRowStripes="1" showColumnStripes="0"/>
</table>
</file>

<file path=xl/tables/table4.xml><?xml version="1.0" encoding="utf-8"?>
<table xmlns="http://schemas.openxmlformats.org/spreadsheetml/2006/main" id="2" name="Tabla33" displayName="Tabla33" ref="B3:H25" totalsRowShown="0" headerRowDxfId="7">
  <tableColumns count="7">
    <tableColumn id="1" name="N°" dataDxfId="6"/>
    <tableColumn id="3" name="Nombre de la Organización" dataDxfId="5"/>
    <tableColumn id="4" name="Cadena Productiva" dataDxfId="4"/>
    <tableColumn id="2" name="Productores" dataDxfId="3"/>
    <tableColumn id="5" name="Región" dataDxfId="2"/>
    <tableColumn id="6" name="Provincia" dataDxfId="1"/>
    <tableColumn id="7" name="Distrit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election activeCell="D8" sqref="D7:D8"/>
    </sheetView>
  </sheetViews>
  <sheetFormatPr baseColWidth="10" defaultRowHeight="15" x14ac:dyDescent="0.25"/>
  <cols>
    <col min="1" max="1" width="23.42578125" customWidth="1"/>
    <col min="2" max="2" width="22.42578125" customWidth="1"/>
    <col min="3" max="3" width="6" customWidth="1"/>
    <col min="4" max="4" width="4.42578125" customWidth="1"/>
    <col min="5" max="5" width="12.5703125" customWidth="1"/>
    <col min="6" max="6" width="23.140625" customWidth="1"/>
    <col min="7" max="7" width="29.85546875" customWidth="1"/>
    <col min="8" max="8" width="28.140625" customWidth="1"/>
    <col min="9" max="9" width="34.85546875" customWidth="1"/>
    <col min="10" max="10" width="23.140625" customWidth="1"/>
    <col min="11" max="11" width="29.85546875" customWidth="1"/>
    <col min="12" max="12" width="23.140625" customWidth="1"/>
    <col min="13" max="13" width="29.85546875" customWidth="1"/>
    <col min="14" max="14" width="28.7109375" customWidth="1"/>
    <col min="15" max="15" width="35.42578125" customWidth="1"/>
    <col min="16" max="16" width="23.140625" customWidth="1"/>
    <col min="17" max="17" width="29.85546875" customWidth="1"/>
    <col min="18" max="18" width="23.140625" customWidth="1"/>
    <col min="19" max="19" width="29.85546875" customWidth="1"/>
    <col min="20" max="20" width="23.140625" customWidth="1"/>
    <col min="21" max="21" width="29.85546875" customWidth="1"/>
    <col min="22" max="22" width="27.140625" customWidth="1"/>
    <col min="23" max="23" width="33.85546875" customWidth="1"/>
    <col min="24" max="24" width="28.140625" customWidth="1"/>
    <col min="25" max="25" width="34.85546875" customWidth="1"/>
    <col min="26" max="26" width="5" customWidth="1"/>
    <col min="27" max="27" width="3" customWidth="1"/>
    <col min="28" max="32" width="5" customWidth="1"/>
    <col min="33" max="33" width="3" customWidth="1"/>
    <col min="34" max="38" width="5" customWidth="1"/>
    <col min="39" max="39" width="3" customWidth="1"/>
    <col min="40" max="40" width="5" customWidth="1"/>
    <col min="41" max="41" width="3" customWidth="1"/>
    <col min="42" max="44" width="5" customWidth="1"/>
    <col min="45" max="45" width="12.5703125" customWidth="1"/>
    <col min="46" max="46" width="5" customWidth="1"/>
    <col min="47" max="47" width="17.140625" bestFit="1" customWidth="1"/>
    <col min="48" max="48" width="12.5703125" bestFit="1" customWidth="1"/>
  </cols>
  <sheetData>
    <row r="2" spans="1:25" x14ac:dyDescent="0.25">
      <c r="A2" s="40"/>
      <c r="B2" s="40"/>
      <c r="C2" s="40"/>
      <c r="D2" s="40"/>
      <c r="E2" s="40"/>
      <c r="F2" s="40"/>
      <c r="G2" s="40"/>
      <c r="H2" s="40"/>
      <c r="I2" s="40"/>
      <c r="J2" s="40"/>
      <c r="K2" s="40"/>
      <c r="L2" s="40"/>
      <c r="M2" s="40"/>
      <c r="N2" s="40"/>
      <c r="O2" s="40"/>
      <c r="P2" s="40"/>
      <c r="Q2" s="40"/>
      <c r="R2" s="40"/>
      <c r="S2" s="40"/>
      <c r="T2" s="40"/>
      <c r="U2" s="40"/>
      <c r="V2" s="40"/>
      <c r="W2" s="40"/>
      <c r="X2" s="40"/>
      <c r="Y2" s="40"/>
    </row>
    <row r="3" spans="1:25" x14ac:dyDescent="0.25">
      <c r="A3" s="41" t="s">
        <v>802</v>
      </c>
      <c r="B3" s="41" t="s">
        <v>314</v>
      </c>
      <c r="C3" s="40"/>
      <c r="D3" s="40"/>
      <c r="E3" s="40"/>
    </row>
    <row r="4" spans="1:25" x14ac:dyDescent="0.25">
      <c r="A4" s="41" t="s">
        <v>312</v>
      </c>
      <c r="B4" s="40" t="s">
        <v>68</v>
      </c>
      <c r="C4" s="40" t="s">
        <v>98</v>
      </c>
      <c r="D4" s="40" t="s">
        <v>57</v>
      </c>
      <c r="E4" s="40" t="s">
        <v>313</v>
      </c>
    </row>
    <row r="5" spans="1:25" x14ac:dyDescent="0.25">
      <c r="A5" s="42" t="s">
        <v>75</v>
      </c>
      <c r="B5" s="43">
        <v>17</v>
      </c>
      <c r="C5" s="43">
        <v>1</v>
      </c>
      <c r="D5" s="43">
        <v>3</v>
      </c>
      <c r="E5" s="43">
        <v>21</v>
      </c>
    </row>
    <row r="6" spans="1:25" x14ac:dyDescent="0.25">
      <c r="A6" s="44" t="s">
        <v>81</v>
      </c>
      <c r="B6" s="43">
        <v>14</v>
      </c>
      <c r="C6" s="43">
        <v>1</v>
      </c>
      <c r="D6" s="43">
        <v>3</v>
      </c>
      <c r="E6" s="43">
        <v>18</v>
      </c>
    </row>
    <row r="7" spans="1:25" x14ac:dyDescent="0.25">
      <c r="A7" s="44" t="s">
        <v>120</v>
      </c>
      <c r="B7" s="43">
        <v>3</v>
      </c>
      <c r="C7" s="43"/>
      <c r="D7" s="43"/>
      <c r="E7" s="43">
        <v>3</v>
      </c>
    </row>
    <row r="8" spans="1:25" x14ac:dyDescent="0.25">
      <c r="A8" s="42" t="s">
        <v>100</v>
      </c>
      <c r="B8" s="43">
        <v>2</v>
      </c>
      <c r="C8" s="43"/>
      <c r="D8" s="43">
        <v>1</v>
      </c>
      <c r="E8" s="43">
        <v>3</v>
      </c>
    </row>
    <row r="9" spans="1:25" x14ac:dyDescent="0.25">
      <c r="A9" s="44" t="s">
        <v>153</v>
      </c>
      <c r="B9" s="43">
        <v>1</v>
      </c>
      <c r="C9" s="43"/>
      <c r="D9" s="43"/>
      <c r="E9" s="43">
        <v>1</v>
      </c>
    </row>
    <row r="10" spans="1:25" x14ac:dyDescent="0.25">
      <c r="A10" s="44" t="s">
        <v>115</v>
      </c>
      <c r="B10" s="43">
        <v>1</v>
      </c>
      <c r="C10" s="43"/>
      <c r="D10" s="43">
        <v>1</v>
      </c>
      <c r="E10" s="43">
        <v>2</v>
      </c>
    </row>
    <row r="11" spans="1:25" x14ac:dyDescent="0.25">
      <c r="A11" s="42" t="s">
        <v>214</v>
      </c>
      <c r="B11" s="43">
        <v>5</v>
      </c>
      <c r="C11" s="43"/>
      <c r="D11" s="43">
        <v>7</v>
      </c>
      <c r="E11" s="43">
        <v>12</v>
      </c>
    </row>
    <row r="12" spans="1:25" x14ac:dyDescent="0.25">
      <c r="A12" s="44" t="s">
        <v>215</v>
      </c>
      <c r="B12" s="43">
        <v>1</v>
      </c>
      <c r="C12" s="43"/>
      <c r="D12" s="43">
        <v>2</v>
      </c>
      <c r="E12" s="43">
        <v>3</v>
      </c>
    </row>
    <row r="13" spans="1:25" x14ac:dyDescent="0.25">
      <c r="A13" s="44" t="s">
        <v>252</v>
      </c>
      <c r="B13" s="43"/>
      <c r="C13" s="43"/>
      <c r="D13" s="43">
        <v>1</v>
      </c>
      <c r="E13" s="43">
        <v>1</v>
      </c>
    </row>
    <row r="14" spans="1:25" x14ac:dyDescent="0.25">
      <c r="A14" s="44" t="s">
        <v>286</v>
      </c>
      <c r="B14" s="43">
        <v>4</v>
      </c>
      <c r="C14" s="43"/>
      <c r="D14" s="43"/>
      <c r="E14" s="43">
        <v>4</v>
      </c>
    </row>
    <row r="15" spans="1:25" x14ac:dyDescent="0.25">
      <c r="A15" s="44" t="s">
        <v>236</v>
      </c>
      <c r="B15" s="43"/>
      <c r="C15" s="43"/>
      <c r="D15" s="43">
        <v>4</v>
      </c>
      <c r="E15" s="43">
        <v>4</v>
      </c>
    </row>
    <row r="16" spans="1:25" x14ac:dyDescent="0.25">
      <c r="A16" s="42" t="s">
        <v>219</v>
      </c>
      <c r="B16" s="43">
        <v>10</v>
      </c>
      <c r="C16" s="43">
        <v>3</v>
      </c>
      <c r="D16" s="43">
        <v>4</v>
      </c>
      <c r="E16" s="43">
        <v>17</v>
      </c>
    </row>
    <row r="17" spans="1:5" x14ac:dyDescent="0.25">
      <c r="A17" s="44" t="s">
        <v>267</v>
      </c>
      <c r="B17" s="43">
        <v>2</v>
      </c>
      <c r="C17" s="43"/>
      <c r="D17" s="43"/>
      <c r="E17" s="43">
        <v>2</v>
      </c>
    </row>
    <row r="18" spans="1:5" x14ac:dyDescent="0.25">
      <c r="A18" s="44" t="s">
        <v>299</v>
      </c>
      <c r="B18" s="43">
        <v>1</v>
      </c>
      <c r="C18" s="43"/>
      <c r="D18" s="43"/>
      <c r="E18" s="43">
        <v>1</v>
      </c>
    </row>
    <row r="19" spans="1:5" x14ac:dyDescent="0.25">
      <c r="A19" s="44" t="s">
        <v>270</v>
      </c>
      <c r="B19" s="43">
        <v>1</v>
      </c>
      <c r="C19" s="43"/>
      <c r="D19" s="43"/>
      <c r="E19" s="43">
        <v>1</v>
      </c>
    </row>
    <row r="20" spans="1:5" x14ac:dyDescent="0.25">
      <c r="A20" s="44" t="s">
        <v>106</v>
      </c>
      <c r="B20" s="43">
        <v>3</v>
      </c>
      <c r="C20" s="43">
        <v>3</v>
      </c>
      <c r="D20" s="43"/>
      <c r="E20" s="43">
        <v>6</v>
      </c>
    </row>
    <row r="21" spans="1:5" x14ac:dyDescent="0.25">
      <c r="A21" s="44" t="s">
        <v>258</v>
      </c>
      <c r="B21" s="43">
        <v>2</v>
      </c>
      <c r="C21" s="43"/>
      <c r="D21" s="43"/>
      <c r="E21" s="43">
        <v>2</v>
      </c>
    </row>
    <row r="22" spans="1:5" x14ac:dyDescent="0.25">
      <c r="A22" s="44" t="s">
        <v>223</v>
      </c>
      <c r="B22" s="43">
        <v>1</v>
      </c>
      <c r="C22" s="43"/>
      <c r="D22" s="43">
        <v>4</v>
      </c>
      <c r="E22" s="43">
        <v>5</v>
      </c>
    </row>
    <row r="23" spans="1:5" x14ac:dyDescent="0.25">
      <c r="A23" s="42" t="s">
        <v>313</v>
      </c>
      <c r="B23" s="43">
        <v>34</v>
      </c>
      <c r="C23" s="43">
        <v>4</v>
      </c>
      <c r="D23" s="43">
        <v>15</v>
      </c>
      <c r="E23" s="43">
        <v>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topLeftCell="A4" workbookViewId="0">
      <selection activeCell="D5" sqref="D5"/>
    </sheetView>
  </sheetViews>
  <sheetFormatPr baseColWidth="10" defaultRowHeight="15" x14ac:dyDescent="0.25"/>
  <cols>
    <col min="1" max="1" width="6" customWidth="1"/>
    <col min="2" max="2" width="6.5703125" customWidth="1"/>
    <col min="3" max="3" width="58.85546875" customWidth="1"/>
    <col min="4" max="4" width="14.5703125" style="222" customWidth="1"/>
    <col min="5" max="5" width="11.42578125" style="149"/>
  </cols>
  <sheetData>
    <row r="1" spans="2:8" ht="15.75" x14ac:dyDescent="0.3">
      <c r="B1" s="320" t="s">
        <v>833</v>
      </c>
      <c r="C1" s="320"/>
      <c r="D1" s="320"/>
      <c r="E1" s="320"/>
      <c r="F1" s="320"/>
      <c r="G1" s="320"/>
      <c r="H1" s="320"/>
    </row>
    <row r="3" spans="2:8" ht="25.5" x14ac:dyDescent="0.25">
      <c r="B3" s="92" t="s">
        <v>763</v>
      </c>
      <c r="C3" s="90" t="s">
        <v>764</v>
      </c>
      <c r="D3" s="90" t="s">
        <v>765</v>
      </c>
      <c r="E3" s="90" t="s">
        <v>766</v>
      </c>
      <c r="F3" s="91" t="s">
        <v>547</v>
      </c>
      <c r="G3" s="90" t="s">
        <v>320</v>
      </c>
      <c r="H3" s="90" t="s">
        <v>319</v>
      </c>
    </row>
    <row r="4" spans="2:8" ht="32.25" customHeight="1" x14ac:dyDescent="0.25">
      <c r="B4" s="1">
        <v>1</v>
      </c>
      <c r="C4" s="85" t="s">
        <v>780</v>
      </c>
      <c r="D4" s="150" t="s">
        <v>769</v>
      </c>
      <c r="E4" s="148">
        <v>450</v>
      </c>
      <c r="F4" s="86" t="s">
        <v>767</v>
      </c>
      <c r="G4" s="85" t="s">
        <v>768</v>
      </c>
      <c r="H4" s="85" t="s">
        <v>722</v>
      </c>
    </row>
    <row r="5" spans="2:8" ht="32.25" customHeight="1" x14ac:dyDescent="0.25">
      <c r="B5" s="1">
        <v>2</v>
      </c>
      <c r="C5" s="85" t="s">
        <v>781</v>
      </c>
      <c r="D5" s="150"/>
      <c r="E5" s="148">
        <v>25</v>
      </c>
      <c r="F5" s="86" t="s">
        <v>767</v>
      </c>
      <c r="G5" s="85" t="s">
        <v>768</v>
      </c>
      <c r="H5" s="85" t="s">
        <v>722</v>
      </c>
    </row>
    <row r="6" spans="2:8" ht="32.25" customHeight="1" x14ac:dyDescent="0.25">
      <c r="B6" s="1">
        <v>3</v>
      </c>
      <c r="C6" s="85" t="s">
        <v>782</v>
      </c>
      <c r="D6" s="150" t="s">
        <v>770</v>
      </c>
      <c r="E6" s="148">
        <v>50</v>
      </c>
      <c r="F6" s="86" t="s">
        <v>767</v>
      </c>
      <c r="G6" s="85" t="s">
        <v>768</v>
      </c>
      <c r="H6" s="85" t="s">
        <v>722</v>
      </c>
    </row>
    <row r="7" spans="2:8" ht="32.25" customHeight="1" x14ac:dyDescent="0.25">
      <c r="B7" s="1">
        <v>4</v>
      </c>
      <c r="C7" s="85" t="s">
        <v>783</v>
      </c>
      <c r="D7" s="150" t="s">
        <v>771</v>
      </c>
      <c r="E7" s="148">
        <v>166</v>
      </c>
      <c r="F7" s="86" t="s">
        <v>767</v>
      </c>
      <c r="G7" s="85" t="s">
        <v>768</v>
      </c>
      <c r="H7" s="85" t="s">
        <v>722</v>
      </c>
    </row>
    <row r="8" spans="2:8" ht="32.25" customHeight="1" x14ac:dyDescent="0.25">
      <c r="B8" s="1">
        <v>5</v>
      </c>
      <c r="C8" s="85" t="s">
        <v>784</v>
      </c>
      <c r="D8" s="150" t="s">
        <v>772</v>
      </c>
      <c r="E8" s="148">
        <v>40</v>
      </c>
      <c r="F8" s="86" t="s">
        <v>767</v>
      </c>
      <c r="G8" s="85" t="s">
        <v>768</v>
      </c>
      <c r="H8" s="85" t="s">
        <v>722</v>
      </c>
    </row>
    <row r="9" spans="2:8" ht="32.25" customHeight="1" x14ac:dyDescent="0.25">
      <c r="B9" s="1">
        <v>6</v>
      </c>
      <c r="C9" s="85" t="s">
        <v>785</v>
      </c>
      <c r="D9" s="150" t="s">
        <v>773</v>
      </c>
      <c r="E9" s="148">
        <v>15</v>
      </c>
      <c r="F9" s="86" t="s">
        <v>767</v>
      </c>
      <c r="G9" s="85" t="s">
        <v>768</v>
      </c>
      <c r="H9" s="85" t="s">
        <v>722</v>
      </c>
    </row>
    <row r="10" spans="2:8" ht="32.25" customHeight="1" x14ac:dyDescent="0.25">
      <c r="B10" s="1">
        <v>7</v>
      </c>
      <c r="C10" s="85" t="s">
        <v>786</v>
      </c>
      <c r="D10" s="150" t="s">
        <v>774</v>
      </c>
      <c r="E10" s="148">
        <v>10</v>
      </c>
      <c r="F10" s="86" t="s">
        <v>767</v>
      </c>
      <c r="G10" s="85" t="s">
        <v>768</v>
      </c>
      <c r="H10" s="85" t="s">
        <v>722</v>
      </c>
    </row>
    <row r="11" spans="2:8" ht="32.25" customHeight="1" x14ac:dyDescent="0.25">
      <c r="B11" s="1">
        <v>8</v>
      </c>
      <c r="C11" s="85" t="s">
        <v>787</v>
      </c>
      <c r="D11" s="150" t="s">
        <v>773</v>
      </c>
      <c r="E11" s="148">
        <v>15</v>
      </c>
      <c r="F11" s="86" t="s">
        <v>767</v>
      </c>
      <c r="G11" s="85" t="s">
        <v>768</v>
      </c>
      <c r="H11" s="85" t="s">
        <v>722</v>
      </c>
    </row>
    <row r="12" spans="2:8" ht="32.25" customHeight="1" x14ac:dyDescent="0.25">
      <c r="B12" s="1">
        <v>9</v>
      </c>
      <c r="C12" s="85" t="s">
        <v>788</v>
      </c>
      <c r="D12" s="150" t="s">
        <v>769</v>
      </c>
      <c r="E12" s="148">
        <v>35</v>
      </c>
      <c r="F12" s="86" t="s">
        <v>767</v>
      </c>
      <c r="G12" s="85" t="s">
        <v>768</v>
      </c>
      <c r="H12" s="85" t="s">
        <v>722</v>
      </c>
    </row>
    <row r="13" spans="2:8" ht="32.25" customHeight="1" x14ac:dyDescent="0.25">
      <c r="B13" s="1">
        <v>10</v>
      </c>
      <c r="C13" s="85" t="s">
        <v>789</v>
      </c>
      <c r="D13" s="150" t="s">
        <v>575</v>
      </c>
      <c r="E13" s="148"/>
      <c r="F13" s="86" t="s">
        <v>767</v>
      </c>
      <c r="G13" s="85" t="s">
        <v>768</v>
      </c>
      <c r="H13" s="85" t="s">
        <v>722</v>
      </c>
    </row>
    <row r="14" spans="2:8" ht="32.25" customHeight="1" x14ac:dyDescent="0.25">
      <c r="B14" s="1">
        <v>11</v>
      </c>
      <c r="C14" s="85" t="s">
        <v>790</v>
      </c>
      <c r="D14" s="150" t="s">
        <v>775</v>
      </c>
      <c r="E14" s="148"/>
      <c r="F14" s="86" t="s">
        <v>767</v>
      </c>
      <c r="G14" s="85" t="s">
        <v>768</v>
      </c>
      <c r="H14" s="85" t="s">
        <v>722</v>
      </c>
    </row>
    <row r="15" spans="2:8" ht="32.25" customHeight="1" x14ac:dyDescent="0.25">
      <c r="B15" s="1">
        <v>12</v>
      </c>
      <c r="C15" s="85" t="s">
        <v>791</v>
      </c>
      <c r="D15" s="150" t="s">
        <v>776</v>
      </c>
      <c r="E15" s="148">
        <v>30</v>
      </c>
      <c r="F15" s="86" t="s">
        <v>767</v>
      </c>
      <c r="G15" s="85" t="s">
        <v>768</v>
      </c>
      <c r="H15" s="85" t="s">
        <v>722</v>
      </c>
    </row>
    <row r="16" spans="2:8" ht="32.25" customHeight="1" x14ac:dyDescent="0.25">
      <c r="B16" s="1">
        <v>13</v>
      </c>
      <c r="C16" s="85" t="s">
        <v>792</v>
      </c>
      <c r="D16" s="150" t="s">
        <v>550</v>
      </c>
      <c r="E16" s="148">
        <v>25</v>
      </c>
      <c r="F16" s="86" t="s">
        <v>767</v>
      </c>
      <c r="G16" s="85" t="s">
        <v>768</v>
      </c>
      <c r="H16" s="85" t="s">
        <v>722</v>
      </c>
    </row>
    <row r="17" spans="2:8" ht="32.25" customHeight="1" x14ac:dyDescent="0.25">
      <c r="B17" s="1">
        <v>14</v>
      </c>
      <c r="C17" s="85" t="s">
        <v>793</v>
      </c>
      <c r="D17" s="150" t="s">
        <v>772</v>
      </c>
      <c r="E17" s="148">
        <v>25</v>
      </c>
      <c r="F17" s="86" t="s">
        <v>767</v>
      </c>
      <c r="G17" s="85" t="s">
        <v>768</v>
      </c>
      <c r="H17" s="85" t="s">
        <v>722</v>
      </c>
    </row>
    <row r="18" spans="2:8" ht="32.25" customHeight="1" x14ac:dyDescent="0.25">
      <c r="B18" s="1">
        <v>15</v>
      </c>
      <c r="C18" s="85" t="s">
        <v>797</v>
      </c>
      <c r="D18" s="150" t="s">
        <v>777</v>
      </c>
      <c r="E18" s="148">
        <v>25</v>
      </c>
      <c r="F18" s="86" t="s">
        <v>767</v>
      </c>
      <c r="G18" s="85" t="s">
        <v>768</v>
      </c>
      <c r="H18" s="85" t="s">
        <v>722</v>
      </c>
    </row>
    <row r="19" spans="2:8" ht="32.25" customHeight="1" x14ac:dyDescent="0.25">
      <c r="B19" s="1">
        <v>16</v>
      </c>
      <c r="C19" s="85" t="s">
        <v>794</v>
      </c>
      <c r="D19" s="150" t="s">
        <v>778</v>
      </c>
      <c r="E19" s="148">
        <v>20</v>
      </c>
      <c r="F19" s="86" t="s">
        <v>767</v>
      </c>
      <c r="G19" s="85" t="s">
        <v>768</v>
      </c>
      <c r="H19" s="85" t="s">
        <v>722</v>
      </c>
    </row>
    <row r="20" spans="2:8" ht="32.25" customHeight="1" x14ac:dyDescent="0.25">
      <c r="B20" s="1">
        <v>17</v>
      </c>
      <c r="C20" s="85" t="s">
        <v>795</v>
      </c>
      <c r="D20" s="150" t="s">
        <v>779</v>
      </c>
      <c r="E20" s="148">
        <v>15</v>
      </c>
      <c r="F20" s="86" t="s">
        <v>767</v>
      </c>
      <c r="G20" s="85" t="s">
        <v>768</v>
      </c>
      <c r="H20" s="85" t="s">
        <v>722</v>
      </c>
    </row>
    <row r="21" spans="2:8" ht="32.25" customHeight="1" x14ac:dyDescent="0.25">
      <c r="B21" s="1">
        <v>18</v>
      </c>
      <c r="C21" s="85" t="s">
        <v>796</v>
      </c>
      <c r="D21" s="150" t="s">
        <v>774</v>
      </c>
      <c r="E21" s="148">
        <v>35</v>
      </c>
      <c r="F21" s="86" t="s">
        <v>767</v>
      </c>
      <c r="G21" s="85" t="s">
        <v>768</v>
      </c>
      <c r="H21" s="85" t="s">
        <v>722</v>
      </c>
    </row>
    <row r="22" spans="2:8" ht="32.25" customHeight="1" x14ac:dyDescent="0.25">
      <c r="B22" s="1">
        <v>19</v>
      </c>
      <c r="C22" s="85" t="s">
        <v>798</v>
      </c>
      <c r="D22" s="150" t="s">
        <v>550</v>
      </c>
      <c r="E22" s="148">
        <v>20</v>
      </c>
      <c r="F22" s="86" t="s">
        <v>767</v>
      </c>
      <c r="G22" s="85" t="s">
        <v>768</v>
      </c>
      <c r="H22" s="85" t="s">
        <v>722</v>
      </c>
    </row>
    <row r="23" spans="2:8" ht="32.25" customHeight="1" x14ac:dyDescent="0.25">
      <c r="B23" s="1">
        <v>20</v>
      </c>
      <c r="C23" s="85" t="s">
        <v>801</v>
      </c>
      <c r="D23" s="150" t="s">
        <v>550</v>
      </c>
      <c r="E23" s="148">
        <v>15</v>
      </c>
      <c r="F23" s="86" t="s">
        <v>767</v>
      </c>
      <c r="G23" s="85" t="s">
        <v>768</v>
      </c>
      <c r="H23" s="85" t="s">
        <v>722</v>
      </c>
    </row>
    <row r="24" spans="2:8" ht="32.25" customHeight="1" x14ac:dyDescent="0.25">
      <c r="B24" s="1">
        <v>21</v>
      </c>
      <c r="C24" s="85" t="s">
        <v>799</v>
      </c>
      <c r="D24" s="150" t="s">
        <v>774</v>
      </c>
      <c r="E24" s="148">
        <v>55</v>
      </c>
      <c r="F24" s="86" t="s">
        <v>767</v>
      </c>
      <c r="G24" s="85" t="s">
        <v>768</v>
      </c>
      <c r="H24" s="85" t="s">
        <v>722</v>
      </c>
    </row>
    <row r="25" spans="2:8" ht="32.25" customHeight="1" x14ac:dyDescent="0.25">
      <c r="B25" s="1">
        <v>22</v>
      </c>
      <c r="C25" s="85" t="s">
        <v>800</v>
      </c>
      <c r="D25" s="150" t="s">
        <v>779</v>
      </c>
      <c r="E25" s="148">
        <v>112</v>
      </c>
      <c r="F25" s="86" t="s">
        <v>767</v>
      </c>
      <c r="G25" s="85" t="s">
        <v>768</v>
      </c>
      <c r="H25" s="85" t="s">
        <v>722</v>
      </c>
    </row>
  </sheetData>
  <mergeCells count="1">
    <mergeCell ref="B1:H1"/>
  </mergeCells>
  <pageMargins left="0.7" right="0.7" top="0.75" bottom="0.75" header="0.3" footer="0.3"/>
  <pageSetup paperSize="9" orientation="portrait" horizontalDpi="4294967295" verticalDpi="4294967295"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40"/>
  <sheetViews>
    <sheetView tabSelected="1" topLeftCell="B1" workbookViewId="0">
      <pane xSplit="3" ySplit="4" topLeftCell="E5" activePane="bottomRight" state="frozen"/>
      <selection activeCell="B1" sqref="B1"/>
      <selection pane="topRight" activeCell="E1" sqref="E1"/>
      <selection pane="bottomLeft" activeCell="B5" sqref="B5"/>
      <selection pane="bottomRight" activeCell="C2" sqref="C2:C3"/>
    </sheetView>
  </sheetViews>
  <sheetFormatPr baseColWidth="10" defaultRowHeight="15" x14ac:dyDescent="0.25"/>
  <cols>
    <col min="1" max="2" width="5.140625" customWidth="1"/>
    <col min="3" max="3" width="17.140625" customWidth="1"/>
    <col min="4" max="4" width="16.42578125" customWidth="1"/>
    <col min="5" max="5" width="14.42578125" customWidth="1"/>
    <col min="9" max="10" width="10" customWidth="1"/>
    <col min="13" max="13" width="14.140625" customWidth="1"/>
    <col min="14" max="14" width="13.5703125" customWidth="1"/>
    <col min="15" max="15" width="14.7109375" customWidth="1"/>
    <col min="16" max="16" width="8.28515625" customWidth="1"/>
    <col min="17" max="17" width="10.7109375" hidden="1" customWidth="1"/>
  </cols>
  <sheetData>
    <row r="1" spans="3:17" ht="45" customHeight="1" thickBot="1" x14ac:dyDescent="0.3">
      <c r="C1" s="324" t="s">
        <v>841</v>
      </c>
      <c r="D1" s="324"/>
      <c r="E1" s="324"/>
      <c r="F1" s="324"/>
      <c r="G1" s="324"/>
      <c r="H1" s="324"/>
      <c r="I1" s="324"/>
      <c r="J1" s="324"/>
      <c r="K1" s="324"/>
      <c r="L1" s="324"/>
      <c r="M1" s="324"/>
      <c r="N1" s="324"/>
      <c r="O1" s="324"/>
      <c r="P1" s="324"/>
    </row>
    <row r="2" spans="3:17" ht="23.25" customHeight="1" x14ac:dyDescent="0.25">
      <c r="C2" s="325" t="s">
        <v>711</v>
      </c>
      <c r="D2" s="327" t="s">
        <v>7</v>
      </c>
      <c r="E2" s="329" t="s">
        <v>8</v>
      </c>
      <c r="F2" s="331" t="s">
        <v>712</v>
      </c>
      <c r="G2" s="331"/>
      <c r="H2" s="331"/>
      <c r="I2" s="331"/>
      <c r="J2" s="331" t="s">
        <v>713</v>
      </c>
      <c r="K2" s="331"/>
      <c r="L2" s="331"/>
      <c r="M2" s="331"/>
      <c r="N2" s="147" t="s">
        <v>714</v>
      </c>
      <c r="O2" s="236" t="s">
        <v>834</v>
      </c>
      <c r="P2" s="332" t="s">
        <v>675</v>
      </c>
      <c r="Q2" s="123"/>
    </row>
    <row r="3" spans="3:17" ht="45" x14ac:dyDescent="0.25">
      <c r="C3" s="326"/>
      <c r="D3" s="328"/>
      <c r="E3" s="330"/>
      <c r="F3" s="144" t="s">
        <v>757</v>
      </c>
      <c r="G3" s="144" t="s">
        <v>758</v>
      </c>
      <c r="H3" s="144" t="s">
        <v>756</v>
      </c>
      <c r="I3" s="144" t="s">
        <v>738</v>
      </c>
      <c r="J3" s="144" t="s">
        <v>759</v>
      </c>
      <c r="K3" s="144" t="s">
        <v>760</v>
      </c>
      <c r="L3" s="144" t="s">
        <v>756</v>
      </c>
      <c r="M3" s="144" t="s">
        <v>738</v>
      </c>
      <c r="N3" s="144" t="s">
        <v>757</v>
      </c>
      <c r="O3" s="231" t="s">
        <v>836</v>
      </c>
      <c r="P3" s="333"/>
      <c r="Q3" s="124" t="s">
        <v>740</v>
      </c>
    </row>
    <row r="4" spans="3:17" ht="16.5" customHeight="1" x14ac:dyDescent="0.25">
      <c r="C4" s="321" t="s">
        <v>715</v>
      </c>
      <c r="D4" s="323" t="s">
        <v>716</v>
      </c>
      <c r="E4" s="100" t="s">
        <v>741</v>
      </c>
      <c r="F4" s="102">
        <v>15</v>
      </c>
      <c r="G4" s="104">
        <v>3</v>
      </c>
      <c r="H4" s="104">
        <f>+G4+F4</f>
        <v>18</v>
      </c>
      <c r="I4" s="104">
        <v>937090</v>
      </c>
      <c r="J4" s="105">
        <v>3</v>
      </c>
      <c r="K4" s="105">
        <v>25</v>
      </c>
      <c r="L4" s="105">
        <f>+K4+J4</f>
        <v>28</v>
      </c>
      <c r="M4" s="105">
        <v>1352358</v>
      </c>
      <c r="N4" s="105">
        <v>2</v>
      </c>
      <c r="O4" s="105">
        <v>0</v>
      </c>
      <c r="P4" s="117">
        <f>H4+L4+N4+O4</f>
        <v>48</v>
      </c>
      <c r="Q4" s="120">
        <f>+M4+I4</f>
        <v>2289448</v>
      </c>
    </row>
    <row r="5" spans="3:17" ht="16.5" customHeight="1" x14ac:dyDescent="0.25">
      <c r="C5" s="322"/>
      <c r="D5" s="323"/>
      <c r="E5" s="100" t="s">
        <v>742</v>
      </c>
      <c r="F5" s="102">
        <v>3</v>
      </c>
      <c r="G5" s="103">
        <v>0</v>
      </c>
      <c r="H5" s="104">
        <f t="shared" ref="H5:H34" si="0">+G5+F5</f>
        <v>3</v>
      </c>
      <c r="I5" s="103">
        <v>257000</v>
      </c>
      <c r="J5" s="105">
        <v>0</v>
      </c>
      <c r="K5" s="105">
        <v>0</v>
      </c>
      <c r="L5" s="105">
        <f t="shared" ref="L5:L34" si="1">+K5+J5</f>
        <v>0</v>
      </c>
      <c r="M5" s="105">
        <v>0</v>
      </c>
      <c r="N5" s="105">
        <v>0</v>
      </c>
      <c r="O5" s="105">
        <v>0</v>
      </c>
      <c r="P5" s="117">
        <f t="shared" ref="P5:P9" si="2">H5+L5+N5+O5</f>
        <v>3</v>
      </c>
      <c r="Q5" s="120">
        <f t="shared" ref="Q5:Q36" si="3">+M5+I5</f>
        <v>257000</v>
      </c>
    </row>
    <row r="6" spans="3:17" ht="16.5" customHeight="1" x14ac:dyDescent="0.25">
      <c r="C6" s="322"/>
      <c r="D6" s="323"/>
      <c r="E6" s="101" t="s">
        <v>717</v>
      </c>
      <c r="F6" s="106">
        <v>0</v>
      </c>
      <c r="G6" s="103">
        <v>0</v>
      </c>
      <c r="H6" s="104">
        <f t="shared" si="0"/>
        <v>0</v>
      </c>
      <c r="I6" s="103">
        <v>0</v>
      </c>
      <c r="J6" s="105">
        <v>0</v>
      </c>
      <c r="K6" s="105">
        <v>1</v>
      </c>
      <c r="L6" s="105">
        <f t="shared" si="1"/>
        <v>1</v>
      </c>
      <c r="M6" s="105">
        <v>49398</v>
      </c>
      <c r="N6" s="105">
        <v>2</v>
      </c>
      <c r="O6" s="232">
        <v>0</v>
      </c>
      <c r="P6" s="117">
        <f t="shared" si="2"/>
        <v>3</v>
      </c>
      <c r="Q6" s="120">
        <f t="shared" si="3"/>
        <v>49398</v>
      </c>
    </row>
    <row r="7" spans="3:17" ht="16.5" customHeight="1" x14ac:dyDescent="0.25">
      <c r="C7" s="322"/>
      <c r="D7" s="323" t="s">
        <v>718</v>
      </c>
      <c r="E7" s="100" t="s">
        <v>743</v>
      </c>
      <c r="F7" s="102">
        <v>1</v>
      </c>
      <c r="G7" s="103">
        <v>0</v>
      </c>
      <c r="H7" s="104">
        <f t="shared" si="0"/>
        <v>1</v>
      </c>
      <c r="I7" s="103">
        <v>108000</v>
      </c>
      <c r="J7" s="105">
        <v>4</v>
      </c>
      <c r="K7" s="105">
        <v>0</v>
      </c>
      <c r="L7" s="105">
        <f t="shared" si="1"/>
        <v>4</v>
      </c>
      <c r="M7" s="105">
        <v>165115</v>
      </c>
      <c r="N7" s="105">
        <v>3</v>
      </c>
      <c r="O7" s="232">
        <v>0</v>
      </c>
      <c r="P7" s="117">
        <f t="shared" si="2"/>
        <v>8</v>
      </c>
      <c r="Q7" s="120">
        <f t="shared" si="3"/>
        <v>273115</v>
      </c>
    </row>
    <row r="8" spans="3:17" ht="16.5" customHeight="1" x14ac:dyDescent="0.25">
      <c r="C8" s="322"/>
      <c r="D8" s="323"/>
      <c r="E8" s="101" t="s">
        <v>719</v>
      </c>
      <c r="F8" s="106">
        <v>0</v>
      </c>
      <c r="G8" s="103">
        <v>0</v>
      </c>
      <c r="H8" s="104">
        <f t="shared" si="0"/>
        <v>0</v>
      </c>
      <c r="I8" s="103">
        <v>0</v>
      </c>
      <c r="J8" s="105">
        <v>3</v>
      </c>
      <c r="K8" s="105">
        <v>14</v>
      </c>
      <c r="L8" s="105">
        <f t="shared" si="1"/>
        <v>17</v>
      </c>
      <c r="M8" s="105">
        <v>783993</v>
      </c>
      <c r="N8" s="105">
        <v>1</v>
      </c>
      <c r="O8" s="232">
        <v>0</v>
      </c>
      <c r="P8" s="117">
        <f t="shared" si="2"/>
        <v>18</v>
      </c>
      <c r="Q8" s="120">
        <f t="shared" si="3"/>
        <v>783993</v>
      </c>
    </row>
    <row r="9" spans="3:17" ht="16.5" customHeight="1" x14ac:dyDescent="0.25">
      <c r="C9" s="322"/>
      <c r="D9" s="323"/>
      <c r="E9" s="100" t="s">
        <v>744</v>
      </c>
      <c r="F9" s="102">
        <v>1</v>
      </c>
      <c r="G9" s="104">
        <v>1</v>
      </c>
      <c r="H9" s="104">
        <f t="shared" si="0"/>
        <v>2</v>
      </c>
      <c r="I9" s="104">
        <v>105820</v>
      </c>
      <c r="J9" s="105">
        <v>5</v>
      </c>
      <c r="K9" s="105">
        <v>20</v>
      </c>
      <c r="L9" s="105">
        <f t="shared" si="1"/>
        <v>25</v>
      </c>
      <c r="M9" s="105">
        <v>1138725</v>
      </c>
      <c r="N9" s="105">
        <v>2</v>
      </c>
      <c r="O9" s="232">
        <v>0</v>
      </c>
      <c r="P9" s="117">
        <f t="shared" si="2"/>
        <v>29</v>
      </c>
      <c r="Q9" s="120">
        <f t="shared" si="3"/>
        <v>1244545</v>
      </c>
    </row>
    <row r="10" spans="3:17" ht="16.5" customHeight="1" thickBot="1" x14ac:dyDescent="0.3">
      <c r="C10" s="253" t="s">
        <v>739</v>
      </c>
      <c r="D10" s="125">
        <v>2</v>
      </c>
      <c r="E10" s="126">
        <v>6</v>
      </c>
      <c r="F10" s="127">
        <f t="shared" ref="F10:H10" si="4">SUM(F4:F9)</f>
        <v>20</v>
      </c>
      <c r="G10" s="128">
        <f t="shared" si="4"/>
        <v>4</v>
      </c>
      <c r="H10" s="128">
        <f t="shared" si="4"/>
        <v>24</v>
      </c>
      <c r="I10" s="128">
        <f>SUM(I4:I9)</f>
        <v>1407910</v>
      </c>
      <c r="J10" s="128">
        <f t="shared" ref="J10:P10" si="5">SUM(J4:J9)</f>
        <v>15</v>
      </c>
      <c r="K10" s="128">
        <f t="shared" si="5"/>
        <v>60</v>
      </c>
      <c r="L10" s="128">
        <f t="shared" si="5"/>
        <v>75</v>
      </c>
      <c r="M10" s="128">
        <f t="shared" si="5"/>
        <v>3489589</v>
      </c>
      <c r="N10" s="128">
        <f t="shared" si="5"/>
        <v>10</v>
      </c>
      <c r="O10" s="128">
        <f t="shared" si="5"/>
        <v>0</v>
      </c>
      <c r="P10" s="129">
        <f t="shared" si="5"/>
        <v>109</v>
      </c>
      <c r="Q10" s="130">
        <f t="shared" si="3"/>
        <v>4897499</v>
      </c>
    </row>
    <row r="11" spans="3:17" ht="16.5" customHeight="1" x14ac:dyDescent="0.25">
      <c r="C11" s="334" t="s">
        <v>495</v>
      </c>
      <c r="D11" s="336" t="s">
        <v>720</v>
      </c>
      <c r="E11" s="112" t="s">
        <v>721</v>
      </c>
      <c r="F11" s="113">
        <v>0</v>
      </c>
      <c r="G11" s="114">
        <v>0</v>
      </c>
      <c r="H11" s="115">
        <f t="shared" si="0"/>
        <v>0</v>
      </c>
      <c r="I11" s="114">
        <v>0</v>
      </c>
      <c r="J11" s="116">
        <v>0</v>
      </c>
      <c r="K11" s="116">
        <v>0</v>
      </c>
      <c r="L11" s="116">
        <f t="shared" si="1"/>
        <v>0</v>
      </c>
      <c r="M11" s="116"/>
      <c r="N11" s="116"/>
      <c r="O11" s="235">
        <v>0</v>
      </c>
      <c r="P11" s="117">
        <f t="shared" ref="P11:P13" si="6">H11+L11+N11+O11</f>
        <v>0</v>
      </c>
      <c r="Q11" s="122">
        <f t="shared" si="3"/>
        <v>0</v>
      </c>
    </row>
    <row r="12" spans="3:17" ht="16.5" customHeight="1" x14ac:dyDescent="0.25">
      <c r="C12" s="335"/>
      <c r="D12" s="323"/>
      <c r="E12" s="101" t="s">
        <v>722</v>
      </c>
      <c r="F12" s="106">
        <v>0</v>
      </c>
      <c r="G12" s="103">
        <v>0</v>
      </c>
      <c r="H12" s="104">
        <f t="shared" si="0"/>
        <v>0</v>
      </c>
      <c r="I12" s="103">
        <v>0</v>
      </c>
      <c r="J12" s="105">
        <v>5</v>
      </c>
      <c r="K12" s="105">
        <v>0</v>
      </c>
      <c r="L12" s="105">
        <f t="shared" si="1"/>
        <v>5</v>
      </c>
      <c r="M12" s="105">
        <v>283203</v>
      </c>
      <c r="N12" s="105">
        <v>2</v>
      </c>
      <c r="O12" s="232">
        <v>22</v>
      </c>
      <c r="P12" s="117">
        <f t="shared" si="6"/>
        <v>29</v>
      </c>
      <c r="Q12" s="120">
        <f t="shared" si="3"/>
        <v>283203</v>
      </c>
    </row>
    <row r="13" spans="3:17" ht="16.5" customHeight="1" x14ac:dyDescent="0.25">
      <c r="C13" s="335"/>
      <c r="D13" s="323"/>
      <c r="E13" s="101" t="s">
        <v>723</v>
      </c>
      <c r="F13" s="106">
        <v>0</v>
      </c>
      <c r="G13" s="103">
        <v>0</v>
      </c>
      <c r="H13" s="104">
        <f t="shared" si="0"/>
        <v>0</v>
      </c>
      <c r="I13" s="103">
        <v>0</v>
      </c>
      <c r="J13" s="105"/>
      <c r="K13" s="105"/>
      <c r="L13" s="105">
        <f t="shared" si="1"/>
        <v>0</v>
      </c>
      <c r="M13" s="105"/>
      <c r="N13" s="105"/>
      <c r="O13" s="232">
        <v>0</v>
      </c>
      <c r="P13" s="117">
        <f t="shared" si="6"/>
        <v>0</v>
      </c>
      <c r="Q13" s="120">
        <f t="shared" si="3"/>
        <v>0</v>
      </c>
    </row>
    <row r="14" spans="3:17" ht="16.5" customHeight="1" thickBot="1" x14ac:dyDescent="0.3">
      <c r="C14" s="253" t="s">
        <v>739</v>
      </c>
      <c r="D14" s="125">
        <v>1</v>
      </c>
      <c r="E14" s="126">
        <v>3</v>
      </c>
      <c r="F14" s="127">
        <f t="shared" ref="F14:H14" si="7">SUM(F11:F13)</f>
        <v>0</v>
      </c>
      <c r="G14" s="128">
        <f t="shared" si="7"/>
        <v>0</v>
      </c>
      <c r="H14" s="128">
        <f t="shared" si="7"/>
        <v>0</v>
      </c>
      <c r="I14" s="128">
        <f>SUM(I11:I13)</f>
        <v>0</v>
      </c>
      <c r="J14" s="128">
        <f t="shared" ref="J14:P14" si="8">SUM(J11:J13)</f>
        <v>5</v>
      </c>
      <c r="K14" s="128">
        <f t="shared" si="8"/>
        <v>0</v>
      </c>
      <c r="L14" s="128">
        <f t="shared" si="8"/>
        <v>5</v>
      </c>
      <c r="M14" s="128">
        <f t="shared" si="8"/>
        <v>283203</v>
      </c>
      <c r="N14" s="128">
        <f t="shared" si="8"/>
        <v>2</v>
      </c>
      <c r="O14" s="128">
        <f t="shared" si="8"/>
        <v>22</v>
      </c>
      <c r="P14" s="129">
        <f t="shared" si="8"/>
        <v>29</v>
      </c>
      <c r="Q14" s="130">
        <f t="shared" si="3"/>
        <v>283203</v>
      </c>
    </row>
    <row r="15" spans="3:17" ht="16.5" customHeight="1" x14ac:dyDescent="0.25">
      <c r="C15" s="337" t="s">
        <v>210</v>
      </c>
      <c r="D15" s="338" t="s">
        <v>724</v>
      </c>
      <c r="E15" s="107" t="s">
        <v>725</v>
      </c>
      <c r="F15" s="108">
        <v>0</v>
      </c>
      <c r="G15" s="111">
        <v>1</v>
      </c>
      <c r="H15" s="109">
        <f t="shared" si="0"/>
        <v>1</v>
      </c>
      <c r="I15" s="111">
        <v>48800</v>
      </c>
      <c r="J15" s="110">
        <v>0</v>
      </c>
      <c r="K15" s="110">
        <v>4</v>
      </c>
      <c r="L15" s="110">
        <f t="shared" si="1"/>
        <v>4</v>
      </c>
      <c r="M15" s="110">
        <v>168252</v>
      </c>
      <c r="N15" s="110">
        <v>2</v>
      </c>
      <c r="O15" s="232">
        <v>0</v>
      </c>
      <c r="P15" s="117">
        <f t="shared" ref="P15:P30" si="9">H15+L15+N15+O15</f>
        <v>7</v>
      </c>
      <c r="Q15" s="119">
        <f t="shared" si="3"/>
        <v>217052</v>
      </c>
    </row>
    <row r="16" spans="3:17" ht="16.5" customHeight="1" x14ac:dyDescent="0.25">
      <c r="C16" s="335"/>
      <c r="D16" s="323"/>
      <c r="E16" s="101" t="s">
        <v>745</v>
      </c>
      <c r="F16" s="106">
        <v>0</v>
      </c>
      <c r="G16" s="103">
        <v>4</v>
      </c>
      <c r="H16" s="104">
        <f t="shared" si="0"/>
        <v>4</v>
      </c>
      <c r="I16" s="103">
        <v>195200</v>
      </c>
      <c r="J16" s="105">
        <v>0</v>
      </c>
      <c r="K16" s="105">
        <v>2</v>
      </c>
      <c r="L16" s="105">
        <f t="shared" si="1"/>
        <v>2</v>
      </c>
      <c r="M16" s="105">
        <v>84126</v>
      </c>
      <c r="N16" s="105"/>
      <c r="O16" s="232">
        <v>0</v>
      </c>
      <c r="P16" s="117">
        <f t="shared" si="9"/>
        <v>6</v>
      </c>
      <c r="Q16" s="120">
        <f t="shared" si="3"/>
        <v>279326</v>
      </c>
    </row>
    <row r="17" spans="3:22" ht="16.5" customHeight="1" x14ac:dyDescent="0.25">
      <c r="C17" s="335"/>
      <c r="D17" s="323"/>
      <c r="E17" s="100" t="s">
        <v>746</v>
      </c>
      <c r="F17" s="102">
        <v>1</v>
      </c>
      <c r="G17" s="104">
        <v>2</v>
      </c>
      <c r="H17" s="104">
        <f t="shared" si="0"/>
        <v>3</v>
      </c>
      <c r="I17" s="104">
        <v>186600</v>
      </c>
      <c r="J17" s="105"/>
      <c r="K17" s="105"/>
      <c r="L17" s="105">
        <f t="shared" si="1"/>
        <v>0</v>
      </c>
      <c r="M17" s="105"/>
      <c r="N17" s="105">
        <v>4</v>
      </c>
      <c r="O17" s="232">
        <v>0</v>
      </c>
      <c r="P17" s="117">
        <f t="shared" si="9"/>
        <v>7</v>
      </c>
      <c r="Q17" s="120">
        <f t="shared" si="3"/>
        <v>186600</v>
      </c>
    </row>
    <row r="18" spans="3:22" ht="16.5" customHeight="1" x14ac:dyDescent="0.25">
      <c r="C18" s="335"/>
      <c r="D18" s="323"/>
      <c r="E18" s="100" t="s">
        <v>747</v>
      </c>
      <c r="F18" s="102">
        <v>4</v>
      </c>
      <c r="G18" s="103">
        <v>0</v>
      </c>
      <c r="H18" s="104">
        <f t="shared" si="0"/>
        <v>4</v>
      </c>
      <c r="I18" s="103">
        <v>347000</v>
      </c>
      <c r="J18" s="105">
        <v>5</v>
      </c>
      <c r="K18" s="105">
        <v>0</v>
      </c>
      <c r="L18" s="105">
        <f t="shared" si="1"/>
        <v>5</v>
      </c>
      <c r="M18" s="105">
        <v>177609</v>
      </c>
      <c r="N18" s="105">
        <v>9</v>
      </c>
      <c r="O18" s="232">
        <v>0</v>
      </c>
      <c r="P18" s="117">
        <f t="shared" si="9"/>
        <v>18</v>
      </c>
      <c r="Q18" s="120">
        <f t="shared" si="3"/>
        <v>524609</v>
      </c>
    </row>
    <row r="19" spans="3:22" ht="16.5" customHeight="1" x14ac:dyDescent="0.25">
      <c r="C19" s="335"/>
      <c r="D19" s="323" t="s">
        <v>726</v>
      </c>
      <c r="E19" s="100" t="s">
        <v>748</v>
      </c>
      <c r="F19" s="102">
        <v>2</v>
      </c>
      <c r="G19" s="103">
        <v>0</v>
      </c>
      <c r="H19" s="104">
        <f t="shared" si="0"/>
        <v>2</v>
      </c>
      <c r="I19" s="103">
        <v>172000</v>
      </c>
      <c r="J19" s="105"/>
      <c r="K19" s="105"/>
      <c r="L19" s="105">
        <f t="shared" si="1"/>
        <v>0</v>
      </c>
      <c r="M19" s="105"/>
      <c r="N19" s="105"/>
      <c r="O19" s="232">
        <v>0</v>
      </c>
      <c r="P19" s="117">
        <f t="shared" si="9"/>
        <v>2</v>
      </c>
      <c r="Q19" s="120">
        <f t="shared" si="3"/>
        <v>172000</v>
      </c>
    </row>
    <row r="20" spans="3:22" ht="16.5" customHeight="1" x14ac:dyDescent="0.25">
      <c r="C20" s="335"/>
      <c r="D20" s="323"/>
      <c r="E20" s="101" t="s">
        <v>727</v>
      </c>
      <c r="F20" s="106">
        <v>0</v>
      </c>
      <c r="G20" s="103">
        <v>0</v>
      </c>
      <c r="H20" s="104">
        <f t="shared" si="0"/>
        <v>0</v>
      </c>
      <c r="I20" s="103">
        <v>0</v>
      </c>
      <c r="J20" s="105"/>
      <c r="K20" s="105"/>
      <c r="L20" s="105">
        <f t="shared" si="1"/>
        <v>0</v>
      </c>
      <c r="M20" s="105"/>
      <c r="N20" s="105">
        <v>1</v>
      </c>
      <c r="O20" s="232">
        <v>0</v>
      </c>
      <c r="P20" s="117">
        <f t="shared" si="9"/>
        <v>1</v>
      </c>
      <c r="Q20" s="120">
        <f t="shared" si="3"/>
        <v>0</v>
      </c>
    </row>
    <row r="21" spans="3:22" ht="16.5" customHeight="1" x14ac:dyDescent="0.25">
      <c r="C21" s="335"/>
      <c r="D21" s="323"/>
      <c r="E21" s="100" t="s">
        <v>749</v>
      </c>
      <c r="F21" s="102">
        <v>1</v>
      </c>
      <c r="G21" s="104">
        <v>4</v>
      </c>
      <c r="H21" s="104">
        <f t="shared" si="0"/>
        <v>5</v>
      </c>
      <c r="I21" s="104">
        <v>258200</v>
      </c>
      <c r="J21" s="105"/>
      <c r="K21" s="105"/>
      <c r="L21" s="105">
        <f t="shared" si="1"/>
        <v>0</v>
      </c>
      <c r="M21" s="105"/>
      <c r="N21" s="105">
        <v>1</v>
      </c>
      <c r="O21" s="232">
        <v>0</v>
      </c>
      <c r="P21" s="117">
        <f t="shared" si="9"/>
        <v>6</v>
      </c>
      <c r="Q21" s="120">
        <f t="shared" si="3"/>
        <v>258200</v>
      </c>
    </row>
    <row r="22" spans="3:22" ht="16.5" customHeight="1" x14ac:dyDescent="0.25">
      <c r="C22" s="335"/>
      <c r="D22" s="323"/>
      <c r="E22" s="101" t="s">
        <v>750</v>
      </c>
      <c r="F22" s="106">
        <v>0</v>
      </c>
      <c r="G22" s="103">
        <v>0</v>
      </c>
      <c r="H22" s="104">
        <f t="shared" si="0"/>
        <v>0</v>
      </c>
      <c r="I22" s="103">
        <v>0</v>
      </c>
      <c r="J22" s="105"/>
      <c r="K22" s="105"/>
      <c r="L22" s="105">
        <f t="shared" si="1"/>
        <v>0</v>
      </c>
      <c r="M22" s="105"/>
      <c r="N22" s="105"/>
      <c r="O22" s="232">
        <v>0</v>
      </c>
      <c r="P22" s="117">
        <f t="shared" si="9"/>
        <v>0</v>
      </c>
      <c r="Q22" s="120">
        <f t="shared" si="3"/>
        <v>0</v>
      </c>
    </row>
    <row r="23" spans="3:22" ht="16.5" customHeight="1" x14ac:dyDescent="0.25">
      <c r="C23" s="335"/>
      <c r="D23" s="323"/>
      <c r="E23" s="100" t="s">
        <v>751</v>
      </c>
      <c r="F23" s="102">
        <v>1</v>
      </c>
      <c r="G23" s="103">
        <v>0</v>
      </c>
      <c r="H23" s="104">
        <f t="shared" si="0"/>
        <v>1</v>
      </c>
      <c r="I23" s="103">
        <v>85000</v>
      </c>
      <c r="J23" s="105"/>
      <c r="K23" s="105"/>
      <c r="L23" s="105">
        <f t="shared" si="1"/>
        <v>0</v>
      </c>
      <c r="M23" s="105"/>
      <c r="N23" s="105"/>
      <c r="O23" s="232">
        <v>0</v>
      </c>
      <c r="P23" s="117">
        <f t="shared" si="9"/>
        <v>1</v>
      </c>
      <c r="Q23" s="120">
        <f t="shared" si="3"/>
        <v>85000</v>
      </c>
    </row>
    <row r="24" spans="3:22" ht="16.5" customHeight="1" x14ac:dyDescent="0.25">
      <c r="C24" s="335"/>
      <c r="D24" s="323"/>
      <c r="E24" s="121" t="s">
        <v>752</v>
      </c>
      <c r="F24" s="102">
        <v>2</v>
      </c>
      <c r="G24" s="103">
        <v>0</v>
      </c>
      <c r="H24" s="104">
        <f t="shared" si="0"/>
        <v>2</v>
      </c>
      <c r="I24" s="103">
        <v>144000</v>
      </c>
      <c r="J24" s="105"/>
      <c r="K24" s="105"/>
      <c r="L24" s="105">
        <f t="shared" si="1"/>
        <v>0</v>
      </c>
      <c r="M24" s="105"/>
      <c r="N24" s="105">
        <v>1</v>
      </c>
      <c r="O24" s="232">
        <v>0</v>
      </c>
      <c r="P24" s="117">
        <f t="shared" si="9"/>
        <v>3</v>
      </c>
      <c r="Q24" s="120">
        <f t="shared" si="3"/>
        <v>144000</v>
      </c>
    </row>
    <row r="25" spans="3:22" ht="16.5" customHeight="1" x14ac:dyDescent="0.25">
      <c r="C25" s="335"/>
      <c r="D25" s="323"/>
      <c r="E25" s="101" t="s">
        <v>728</v>
      </c>
      <c r="F25" s="106">
        <v>0</v>
      </c>
      <c r="G25" s="103">
        <v>0</v>
      </c>
      <c r="H25" s="104">
        <f t="shared" si="0"/>
        <v>0</v>
      </c>
      <c r="I25" s="103">
        <v>0</v>
      </c>
      <c r="J25" s="105">
        <v>1</v>
      </c>
      <c r="K25" s="105">
        <v>1</v>
      </c>
      <c r="L25" s="105">
        <f t="shared" si="1"/>
        <v>2</v>
      </c>
      <c r="M25" s="105">
        <v>119015</v>
      </c>
      <c r="N25" s="105"/>
      <c r="O25" s="232">
        <v>0</v>
      </c>
      <c r="P25" s="117">
        <f t="shared" si="9"/>
        <v>2</v>
      </c>
      <c r="Q25" s="120">
        <f t="shared" si="3"/>
        <v>119015</v>
      </c>
    </row>
    <row r="26" spans="3:22" ht="16.5" customHeight="1" x14ac:dyDescent="0.25">
      <c r="C26" s="335"/>
      <c r="D26" s="323"/>
      <c r="E26" s="100" t="s">
        <v>753</v>
      </c>
      <c r="F26" s="102">
        <v>1</v>
      </c>
      <c r="G26" s="103">
        <v>0</v>
      </c>
      <c r="H26" s="104">
        <f t="shared" si="0"/>
        <v>1</v>
      </c>
      <c r="I26" s="103">
        <v>60000</v>
      </c>
      <c r="J26" s="105"/>
      <c r="K26" s="105"/>
      <c r="L26" s="105">
        <f t="shared" si="1"/>
        <v>0</v>
      </c>
      <c r="M26" s="105"/>
      <c r="N26" s="105"/>
      <c r="O26" s="232">
        <v>0</v>
      </c>
      <c r="P26" s="117">
        <f t="shared" si="9"/>
        <v>1</v>
      </c>
      <c r="Q26" s="120">
        <f t="shared" si="3"/>
        <v>60000</v>
      </c>
    </row>
    <row r="27" spans="3:22" ht="16.5" customHeight="1" x14ac:dyDescent="0.25">
      <c r="C27" s="335"/>
      <c r="D27" s="323"/>
      <c r="E27" s="101" t="s">
        <v>729</v>
      </c>
      <c r="F27" s="106">
        <v>0</v>
      </c>
      <c r="G27" s="103">
        <v>0</v>
      </c>
      <c r="H27" s="104">
        <f t="shared" si="0"/>
        <v>0</v>
      </c>
      <c r="I27" s="103">
        <v>0</v>
      </c>
      <c r="J27" s="105"/>
      <c r="K27" s="105"/>
      <c r="L27" s="105">
        <f t="shared" si="1"/>
        <v>0</v>
      </c>
      <c r="M27" s="105"/>
      <c r="N27" s="105"/>
      <c r="O27" s="232">
        <v>0</v>
      </c>
      <c r="P27" s="117">
        <f t="shared" si="9"/>
        <v>0</v>
      </c>
      <c r="Q27" s="120">
        <f t="shared" si="3"/>
        <v>0</v>
      </c>
      <c r="T27" s="254"/>
      <c r="U27" s="254"/>
      <c r="V27" s="254"/>
    </row>
    <row r="28" spans="3:22" ht="16.5" customHeight="1" x14ac:dyDescent="0.25">
      <c r="C28" s="335"/>
      <c r="D28" s="323"/>
      <c r="E28" s="100" t="s">
        <v>754</v>
      </c>
      <c r="F28" s="102">
        <v>6</v>
      </c>
      <c r="G28" s="103">
        <v>0</v>
      </c>
      <c r="H28" s="104">
        <f t="shared" si="0"/>
        <v>6</v>
      </c>
      <c r="I28" s="103">
        <v>344000</v>
      </c>
      <c r="J28" s="105"/>
      <c r="K28" s="105"/>
      <c r="L28" s="105">
        <f t="shared" si="1"/>
        <v>0</v>
      </c>
      <c r="M28" s="105"/>
      <c r="N28" s="105">
        <v>1</v>
      </c>
      <c r="O28" s="232">
        <v>0</v>
      </c>
      <c r="P28" s="117">
        <f t="shared" si="9"/>
        <v>7</v>
      </c>
      <c r="Q28" s="120">
        <f t="shared" si="3"/>
        <v>344000</v>
      </c>
      <c r="S28" s="97"/>
      <c r="T28" s="255"/>
      <c r="U28" s="255"/>
      <c r="V28" s="254"/>
    </row>
    <row r="29" spans="3:22" ht="16.5" customHeight="1" x14ac:dyDescent="0.25">
      <c r="C29" s="335"/>
      <c r="D29" s="323"/>
      <c r="E29" s="101" t="s">
        <v>730</v>
      </c>
      <c r="F29" s="106">
        <v>0</v>
      </c>
      <c r="G29" s="103">
        <v>0</v>
      </c>
      <c r="H29" s="104">
        <f t="shared" si="0"/>
        <v>0</v>
      </c>
      <c r="I29" s="103">
        <v>0</v>
      </c>
      <c r="J29" s="105"/>
      <c r="K29" s="105"/>
      <c r="L29" s="105">
        <f t="shared" si="1"/>
        <v>0</v>
      </c>
      <c r="M29" s="105"/>
      <c r="N29" s="105"/>
      <c r="O29" s="232">
        <v>0</v>
      </c>
      <c r="P29" s="117">
        <f t="shared" si="9"/>
        <v>0</v>
      </c>
      <c r="Q29" s="120">
        <f t="shared" si="3"/>
        <v>0</v>
      </c>
      <c r="S29" s="97"/>
      <c r="T29" s="255"/>
      <c r="U29" s="255"/>
      <c r="V29" s="254"/>
    </row>
    <row r="30" spans="3:22" ht="16.5" customHeight="1" x14ac:dyDescent="0.25">
      <c r="C30" s="335"/>
      <c r="D30" s="323"/>
      <c r="E30" s="101" t="s">
        <v>731</v>
      </c>
      <c r="F30" s="106">
        <v>0</v>
      </c>
      <c r="G30" s="103">
        <v>0</v>
      </c>
      <c r="H30" s="104">
        <f t="shared" si="0"/>
        <v>0</v>
      </c>
      <c r="I30" s="103">
        <v>0</v>
      </c>
      <c r="J30" s="105"/>
      <c r="K30" s="105"/>
      <c r="L30" s="105">
        <f t="shared" si="1"/>
        <v>0</v>
      </c>
      <c r="M30" s="105"/>
      <c r="N30" s="105"/>
      <c r="O30" s="232">
        <v>0</v>
      </c>
      <c r="P30" s="117">
        <f t="shared" si="9"/>
        <v>0</v>
      </c>
      <c r="Q30" s="120">
        <f t="shared" si="3"/>
        <v>0</v>
      </c>
      <c r="S30" s="97"/>
      <c r="T30" s="256"/>
      <c r="U30" s="256"/>
      <c r="V30" s="254"/>
    </row>
    <row r="31" spans="3:22" ht="16.5" customHeight="1" thickBot="1" x14ac:dyDescent="0.3">
      <c r="C31" s="253" t="s">
        <v>739</v>
      </c>
      <c r="D31" s="125">
        <v>2</v>
      </c>
      <c r="E31" s="126">
        <v>16</v>
      </c>
      <c r="F31" s="127">
        <f t="shared" ref="F31:N31" si="10">SUM(F15:F30)</f>
        <v>18</v>
      </c>
      <c r="G31" s="128">
        <f t="shared" si="10"/>
        <v>11</v>
      </c>
      <c r="H31" s="128">
        <f t="shared" si="10"/>
        <v>29</v>
      </c>
      <c r="I31" s="128">
        <f t="shared" si="10"/>
        <v>1840800</v>
      </c>
      <c r="J31" s="128">
        <f t="shared" si="10"/>
        <v>6</v>
      </c>
      <c r="K31" s="128">
        <f t="shared" si="10"/>
        <v>7</v>
      </c>
      <c r="L31" s="128">
        <f t="shared" si="10"/>
        <v>13</v>
      </c>
      <c r="M31" s="128">
        <f t="shared" si="10"/>
        <v>549002</v>
      </c>
      <c r="N31" s="128">
        <f t="shared" si="10"/>
        <v>19</v>
      </c>
      <c r="O31" s="234"/>
      <c r="P31" s="129">
        <f t="shared" ref="P31:Q31" si="11">SUM(P15:P30)</f>
        <v>61</v>
      </c>
      <c r="Q31" s="131">
        <f t="shared" si="11"/>
        <v>2389802</v>
      </c>
      <c r="S31" s="97"/>
      <c r="T31" s="257"/>
      <c r="U31" s="257"/>
      <c r="V31" s="254"/>
    </row>
    <row r="32" spans="3:22" ht="16.5" customHeight="1" x14ac:dyDescent="0.25">
      <c r="C32" s="258" t="s">
        <v>732</v>
      </c>
      <c r="D32" s="146" t="s">
        <v>733</v>
      </c>
      <c r="E32" s="112" t="s">
        <v>734</v>
      </c>
      <c r="F32" s="113">
        <v>0</v>
      </c>
      <c r="G32" s="114">
        <v>0</v>
      </c>
      <c r="H32" s="115">
        <f t="shared" si="0"/>
        <v>0</v>
      </c>
      <c r="I32" s="114">
        <v>0</v>
      </c>
      <c r="J32" s="118">
        <v>3</v>
      </c>
      <c r="K32" s="118"/>
      <c r="L32" s="116">
        <f t="shared" si="1"/>
        <v>3</v>
      </c>
      <c r="M32" s="118">
        <v>99000</v>
      </c>
      <c r="N32" s="118">
        <v>1</v>
      </c>
      <c r="O32" s="232">
        <v>0</v>
      </c>
      <c r="P32" s="117">
        <f>H32+L32+N32+O32</f>
        <v>4</v>
      </c>
      <c r="Q32" s="120">
        <f t="shared" si="3"/>
        <v>99000</v>
      </c>
      <c r="S32" s="97"/>
      <c r="T32" s="259"/>
      <c r="U32" s="259"/>
      <c r="V32" s="254"/>
    </row>
    <row r="33" spans="3:22" ht="16.5" customHeight="1" thickBot="1" x14ac:dyDescent="0.3">
      <c r="C33" s="253" t="s">
        <v>739</v>
      </c>
      <c r="D33" s="125">
        <v>1</v>
      </c>
      <c r="E33" s="132">
        <v>1</v>
      </c>
      <c r="F33" s="127">
        <f t="shared" ref="F33:I33" si="12">+F32</f>
        <v>0</v>
      </c>
      <c r="G33" s="128">
        <f t="shared" si="12"/>
        <v>0</v>
      </c>
      <c r="H33" s="128">
        <f t="shared" si="12"/>
        <v>0</v>
      </c>
      <c r="I33" s="128">
        <f t="shared" si="12"/>
        <v>0</v>
      </c>
      <c r="J33" s="128">
        <f>+J32</f>
        <v>3</v>
      </c>
      <c r="K33" s="128">
        <f t="shared" ref="K33:P33" si="13">+K32</f>
        <v>0</v>
      </c>
      <c r="L33" s="128">
        <f t="shared" si="13"/>
        <v>3</v>
      </c>
      <c r="M33" s="128">
        <f t="shared" si="13"/>
        <v>99000</v>
      </c>
      <c r="N33" s="128">
        <f t="shared" si="13"/>
        <v>1</v>
      </c>
      <c r="O33" s="234"/>
      <c r="P33" s="129">
        <f t="shared" si="13"/>
        <v>4</v>
      </c>
      <c r="Q33" s="133">
        <f t="shared" si="3"/>
        <v>99000</v>
      </c>
      <c r="S33" s="97"/>
      <c r="T33" s="259"/>
      <c r="U33" s="259"/>
      <c r="V33" s="254"/>
    </row>
    <row r="34" spans="3:22" ht="16.5" customHeight="1" x14ac:dyDescent="0.25">
      <c r="C34" s="258" t="s">
        <v>735</v>
      </c>
      <c r="D34" s="146" t="s">
        <v>736</v>
      </c>
      <c r="E34" s="112" t="s">
        <v>737</v>
      </c>
      <c r="F34" s="113">
        <v>0</v>
      </c>
      <c r="G34" s="114">
        <v>0</v>
      </c>
      <c r="H34" s="115">
        <f t="shared" si="0"/>
        <v>0</v>
      </c>
      <c r="I34" s="114">
        <v>0</v>
      </c>
      <c r="J34" s="118"/>
      <c r="K34" s="118"/>
      <c r="L34" s="116">
        <f t="shared" si="1"/>
        <v>0</v>
      </c>
      <c r="M34" s="118"/>
      <c r="N34" s="118">
        <v>3</v>
      </c>
      <c r="O34" s="232">
        <v>0</v>
      </c>
      <c r="P34" s="117">
        <f>H34+L34+N34+O34</f>
        <v>3</v>
      </c>
      <c r="Q34" s="120">
        <f t="shared" si="3"/>
        <v>0</v>
      </c>
      <c r="S34" s="97"/>
      <c r="T34" s="259"/>
      <c r="U34" s="259"/>
      <c r="V34" s="254"/>
    </row>
    <row r="35" spans="3:22" ht="16.5" customHeight="1" thickBot="1" x14ac:dyDescent="0.3">
      <c r="C35" s="260" t="s">
        <v>739</v>
      </c>
      <c r="D35" s="134">
        <v>1</v>
      </c>
      <c r="E35" s="135">
        <v>1</v>
      </c>
      <c r="F35" s="136">
        <f>+F34</f>
        <v>0</v>
      </c>
      <c r="G35" s="137">
        <f t="shared" ref="G35:P35" si="14">+G34</f>
        <v>0</v>
      </c>
      <c r="H35" s="137">
        <f t="shared" si="14"/>
        <v>0</v>
      </c>
      <c r="I35" s="137">
        <f t="shared" si="14"/>
        <v>0</v>
      </c>
      <c r="J35" s="137">
        <f t="shared" si="14"/>
        <v>0</v>
      </c>
      <c r="K35" s="137">
        <f t="shared" si="14"/>
        <v>0</v>
      </c>
      <c r="L35" s="137">
        <f t="shared" si="14"/>
        <v>0</v>
      </c>
      <c r="M35" s="137">
        <f t="shared" si="14"/>
        <v>0</v>
      </c>
      <c r="N35" s="137">
        <f t="shared" si="14"/>
        <v>3</v>
      </c>
      <c r="O35" s="233"/>
      <c r="P35" s="138">
        <f t="shared" si="14"/>
        <v>3</v>
      </c>
      <c r="Q35" s="139">
        <f t="shared" si="3"/>
        <v>0</v>
      </c>
      <c r="S35" s="97"/>
      <c r="T35" s="259"/>
      <c r="U35" s="259"/>
      <c r="V35" s="254"/>
    </row>
    <row r="36" spans="3:22" ht="16.5" customHeight="1" thickBot="1" x14ac:dyDescent="0.3">
      <c r="C36" s="140" t="s">
        <v>675</v>
      </c>
      <c r="D36" s="141">
        <v>7</v>
      </c>
      <c r="E36" s="141">
        <v>27</v>
      </c>
      <c r="F36" s="142">
        <f>+F35+F33+F31+F14+F10</f>
        <v>38</v>
      </c>
      <c r="G36" s="142">
        <f>+G35+G33+G31+G14+G10</f>
        <v>15</v>
      </c>
      <c r="H36" s="142">
        <f>+H35+H33+H31+H14+H10</f>
        <v>53</v>
      </c>
      <c r="I36" s="142">
        <f>+I35+I33+I31+I14+I10</f>
        <v>3248710</v>
      </c>
      <c r="J36" s="142">
        <f t="shared" ref="J36:M36" si="15">+J35+J33+J31+J14+J10</f>
        <v>29</v>
      </c>
      <c r="K36" s="142">
        <f t="shared" si="15"/>
        <v>67</v>
      </c>
      <c r="L36" s="142">
        <f t="shared" si="15"/>
        <v>96</v>
      </c>
      <c r="M36" s="142">
        <f t="shared" si="15"/>
        <v>4420794</v>
      </c>
      <c r="N36" s="142">
        <f>+N35+N33+N31+N14+N10</f>
        <v>35</v>
      </c>
      <c r="O36" s="142">
        <f t="shared" ref="O36:P36" si="16">+O35+O33+O31+O14+O10</f>
        <v>22</v>
      </c>
      <c r="P36" s="142">
        <f t="shared" si="16"/>
        <v>206</v>
      </c>
      <c r="Q36" s="143">
        <f t="shared" si="3"/>
        <v>7669504</v>
      </c>
      <c r="S36" s="97"/>
      <c r="T36" s="259"/>
      <c r="U36" s="259"/>
      <c r="V36" s="254"/>
    </row>
    <row r="37" spans="3:22" x14ac:dyDescent="0.25">
      <c r="G37" s="99"/>
      <c r="H37" s="99"/>
      <c r="K37" s="99"/>
      <c r="L37" s="99"/>
      <c r="N37" s="99"/>
      <c r="O37" s="99"/>
      <c r="P37" s="99"/>
      <c r="Q37" s="99"/>
      <c r="S37" s="97"/>
      <c r="T37" s="261"/>
      <c r="U37" s="261"/>
      <c r="V37" s="254"/>
    </row>
    <row r="38" spans="3:22" x14ac:dyDescent="0.25">
      <c r="S38" s="97"/>
      <c r="T38" s="262"/>
      <c r="U38" s="262"/>
      <c r="V38" s="254"/>
    </row>
    <row r="39" spans="3:22" x14ac:dyDescent="0.25">
      <c r="S39" s="97"/>
      <c r="T39" s="255"/>
      <c r="U39" s="255"/>
      <c r="V39" s="254"/>
    </row>
    <row r="40" spans="3:22" x14ac:dyDescent="0.25">
      <c r="T40" s="254"/>
      <c r="U40" s="254"/>
      <c r="V40" s="254"/>
    </row>
  </sheetData>
  <mergeCells count="15">
    <mergeCell ref="C11:C13"/>
    <mergeCell ref="D11:D13"/>
    <mergeCell ref="C15:C30"/>
    <mergeCell ref="D15:D18"/>
    <mergeCell ref="D19:D30"/>
    <mergeCell ref="C4:C9"/>
    <mergeCell ref="D4:D6"/>
    <mergeCell ref="D7:D9"/>
    <mergeCell ref="C1:P1"/>
    <mergeCell ref="C2:C3"/>
    <mergeCell ref="D2:D3"/>
    <mergeCell ref="E2:E3"/>
    <mergeCell ref="F2:I2"/>
    <mergeCell ref="J2:M2"/>
    <mergeCell ref="P2:P3"/>
  </mergeCells>
  <printOptions horizontalCentered="1" verticalCentered="1"/>
  <pageMargins left="0.70866141732283472" right="0.70866141732283472" top="0.55118110236220474" bottom="0.15748031496062992" header="0.31496062992125984" footer="0.31496062992125984"/>
  <pageSetup paperSize="9" scale="80"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8"/>
  <sheetViews>
    <sheetView workbookViewId="0">
      <selection activeCell="N42" sqref="N42"/>
    </sheetView>
  </sheetViews>
  <sheetFormatPr baseColWidth="10" defaultRowHeight="15" x14ac:dyDescent="0.25"/>
  <cols>
    <col min="1" max="1" width="5.140625" customWidth="1"/>
    <col min="2" max="2" width="17.140625" customWidth="1"/>
    <col min="3" max="3" width="11.28515625" customWidth="1"/>
    <col min="4" max="4" width="11.5703125" customWidth="1"/>
    <col min="5" max="6" width="11.42578125" hidden="1" customWidth="1"/>
    <col min="7" max="7" width="10.85546875" customWidth="1"/>
    <col min="8" max="8" width="0.28515625" hidden="1" customWidth="1"/>
    <col min="9" max="9" width="10" hidden="1" customWidth="1"/>
    <col min="10" max="10" width="11.42578125" hidden="1" customWidth="1"/>
    <col min="11" max="11" width="10" customWidth="1"/>
    <col min="12" max="12" width="12.42578125" hidden="1" customWidth="1"/>
    <col min="13" max="14" width="11" customWidth="1"/>
    <col min="15" max="15" width="8.28515625" customWidth="1"/>
    <col min="16" max="16" width="12.7109375" hidden="1" customWidth="1"/>
  </cols>
  <sheetData>
    <row r="1" spans="2:16" ht="15.75" x14ac:dyDescent="0.25">
      <c r="B1" s="324" t="s">
        <v>755</v>
      </c>
      <c r="C1" s="324"/>
      <c r="D1" s="324"/>
      <c r="E1" s="324"/>
      <c r="F1" s="324"/>
      <c r="G1" s="324"/>
      <c r="H1" s="324"/>
      <c r="I1" s="324"/>
      <c r="J1" s="324"/>
      <c r="K1" s="324"/>
      <c r="L1" s="324"/>
      <c r="M1" s="324"/>
      <c r="N1" s="324"/>
      <c r="O1" s="324"/>
    </row>
    <row r="2" spans="2:16" ht="21" customHeight="1" thickBot="1" x14ac:dyDescent="0.3">
      <c r="B2" s="324" t="s">
        <v>761</v>
      </c>
      <c r="C2" s="324"/>
      <c r="D2" s="324"/>
      <c r="E2" s="324"/>
      <c r="F2" s="324"/>
      <c r="G2" s="324"/>
      <c r="H2" s="324"/>
      <c r="I2" s="324"/>
      <c r="J2" s="324"/>
      <c r="K2" s="324"/>
      <c r="L2" s="324"/>
      <c r="M2" s="324"/>
      <c r="N2" s="324"/>
      <c r="O2" s="324"/>
    </row>
    <row r="3" spans="2:16" ht="23.25" customHeight="1" x14ac:dyDescent="0.25">
      <c r="B3" s="341" t="s">
        <v>711</v>
      </c>
      <c r="C3" s="343" t="s">
        <v>7</v>
      </c>
      <c r="D3" s="331" t="s">
        <v>8</v>
      </c>
      <c r="E3" s="331" t="s">
        <v>712</v>
      </c>
      <c r="F3" s="331"/>
      <c r="G3" s="331"/>
      <c r="H3" s="331"/>
      <c r="I3" s="331" t="s">
        <v>713</v>
      </c>
      <c r="J3" s="331"/>
      <c r="K3" s="331"/>
      <c r="L3" s="331"/>
      <c r="M3" s="147" t="s">
        <v>714</v>
      </c>
      <c r="N3" s="147" t="s">
        <v>834</v>
      </c>
      <c r="O3" s="346" t="s">
        <v>675</v>
      </c>
      <c r="P3" s="123"/>
    </row>
    <row r="4" spans="2:16" ht="45" x14ac:dyDescent="0.25">
      <c r="B4" s="342"/>
      <c r="C4" s="344"/>
      <c r="D4" s="345"/>
      <c r="E4" s="144" t="s">
        <v>757</v>
      </c>
      <c r="F4" s="144" t="s">
        <v>758</v>
      </c>
      <c r="G4" s="144" t="s">
        <v>756</v>
      </c>
      <c r="H4" s="144" t="s">
        <v>738</v>
      </c>
      <c r="I4" s="144" t="s">
        <v>759</v>
      </c>
      <c r="J4" s="144" t="s">
        <v>760</v>
      </c>
      <c r="K4" s="144" t="s">
        <v>756</v>
      </c>
      <c r="L4" s="144" t="s">
        <v>738</v>
      </c>
      <c r="M4" s="144" t="s">
        <v>757</v>
      </c>
      <c r="N4" s="144" t="s">
        <v>835</v>
      </c>
      <c r="O4" s="347"/>
      <c r="P4" s="124" t="s">
        <v>740</v>
      </c>
    </row>
    <row r="5" spans="2:16" ht="16.5" hidden="1" customHeight="1" x14ac:dyDescent="0.25">
      <c r="B5" s="339" t="s">
        <v>715</v>
      </c>
      <c r="C5" s="340" t="s">
        <v>716</v>
      </c>
      <c r="D5" s="100" t="s">
        <v>741</v>
      </c>
      <c r="E5" s="104">
        <v>14</v>
      </c>
      <c r="F5" s="104">
        <v>3</v>
      </c>
      <c r="G5" s="104">
        <f>+F5+E5</f>
        <v>17</v>
      </c>
      <c r="H5" s="104">
        <v>937090</v>
      </c>
      <c r="I5" s="105">
        <v>3</v>
      </c>
      <c r="J5" s="105">
        <v>25</v>
      </c>
      <c r="K5" s="105">
        <f>+J5+I5</f>
        <v>28</v>
      </c>
      <c r="L5" s="105">
        <v>1352358</v>
      </c>
      <c r="M5" s="105">
        <v>2</v>
      </c>
      <c r="N5" s="105"/>
      <c r="O5" s="117">
        <f>+M5+K5+G5</f>
        <v>47</v>
      </c>
      <c r="P5" s="120">
        <f>+L5+H5</f>
        <v>2289448</v>
      </c>
    </row>
    <row r="6" spans="2:16" ht="16.5" hidden="1" customHeight="1" x14ac:dyDescent="0.25">
      <c r="B6" s="339"/>
      <c r="C6" s="340"/>
      <c r="D6" s="100" t="s">
        <v>742</v>
      </c>
      <c r="E6" s="104">
        <v>3</v>
      </c>
      <c r="F6" s="103">
        <v>0</v>
      </c>
      <c r="G6" s="104">
        <f t="shared" ref="G6:G35" si="0">+F6+E6</f>
        <v>3</v>
      </c>
      <c r="H6" s="103">
        <v>257000</v>
      </c>
      <c r="I6" s="105">
        <v>0</v>
      </c>
      <c r="J6" s="105">
        <v>0</v>
      </c>
      <c r="K6" s="105">
        <f t="shared" ref="K6:K35" si="1">+J6+I6</f>
        <v>0</v>
      </c>
      <c r="L6" s="105"/>
      <c r="M6" s="105"/>
      <c r="N6" s="105"/>
      <c r="O6" s="117">
        <f t="shared" ref="O6:O35" si="2">+M6+K6+G6</f>
        <v>3</v>
      </c>
      <c r="P6" s="120">
        <f t="shared" ref="P6:P37" si="3">+L6+H6</f>
        <v>257000</v>
      </c>
    </row>
    <row r="7" spans="2:16" ht="16.5" hidden="1" customHeight="1" x14ac:dyDescent="0.25">
      <c r="B7" s="339"/>
      <c r="C7" s="340"/>
      <c r="D7" s="101" t="s">
        <v>717</v>
      </c>
      <c r="E7" s="103">
        <v>0</v>
      </c>
      <c r="F7" s="103">
        <v>0</v>
      </c>
      <c r="G7" s="104">
        <f t="shared" si="0"/>
        <v>0</v>
      </c>
      <c r="H7" s="103">
        <v>0</v>
      </c>
      <c r="I7" s="105">
        <v>0</v>
      </c>
      <c r="J7" s="105">
        <v>1</v>
      </c>
      <c r="K7" s="105">
        <f t="shared" si="1"/>
        <v>1</v>
      </c>
      <c r="L7" s="105">
        <v>49398</v>
      </c>
      <c r="M7" s="105">
        <v>2</v>
      </c>
      <c r="N7" s="105"/>
      <c r="O7" s="117">
        <f t="shared" si="2"/>
        <v>3</v>
      </c>
      <c r="P7" s="120">
        <f t="shared" si="3"/>
        <v>49398</v>
      </c>
    </row>
    <row r="8" spans="2:16" ht="16.5" hidden="1" customHeight="1" x14ac:dyDescent="0.25">
      <c r="B8" s="339"/>
      <c r="C8" s="340" t="s">
        <v>718</v>
      </c>
      <c r="D8" s="100" t="s">
        <v>743</v>
      </c>
      <c r="E8" s="104">
        <v>1</v>
      </c>
      <c r="F8" s="103">
        <v>0</v>
      </c>
      <c r="G8" s="104">
        <f t="shared" si="0"/>
        <v>1</v>
      </c>
      <c r="H8" s="103">
        <v>108000</v>
      </c>
      <c r="I8" s="105">
        <v>4</v>
      </c>
      <c r="J8" s="105">
        <v>0</v>
      </c>
      <c r="K8" s="105">
        <f t="shared" si="1"/>
        <v>4</v>
      </c>
      <c r="L8" s="105">
        <v>165115</v>
      </c>
      <c r="M8" s="105">
        <v>3</v>
      </c>
      <c r="N8" s="105"/>
      <c r="O8" s="117">
        <f t="shared" si="2"/>
        <v>8</v>
      </c>
      <c r="P8" s="120">
        <f t="shared" si="3"/>
        <v>273115</v>
      </c>
    </row>
    <row r="9" spans="2:16" ht="16.5" hidden="1" customHeight="1" x14ac:dyDescent="0.25">
      <c r="B9" s="339"/>
      <c r="C9" s="340"/>
      <c r="D9" s="101" t="s">
        <v>719</v>
      </c>
      <c r="E9" s="103">
        <v>0</v>
      </c>
      <c r="F9" s="103">
        <v>0</v>
      </c>
      <c r="G9" s="104">
        <f t="shared" si="0"/>
        <v>0</v>
      </c>
      <c r="H9" s="103">
        <v>0</v>
      </c>
      <c r="I9" s="105">
        <v>3</v>
      </c>
      <c r="J9" s="105">
        <v>14</v>
      </c>
      <c r="K9" s="105">
        <f t="shared" si="1"/>
        <v>17</v>
      </c>
      <c r="L9" s="105">
        <v>783993</v>
      </c>
      <c r="M9" s="105">
        <v>1</v>
      </c>
      <c r="N9" s="105"/>
      <c r="O9" s="117">
        <f t="shared" si="2"/>
        <v>18</v>
      </c>
      <c r="P9" s="120">
        <f t="shared" si="3"/>
        <v>783993</v>
      </c>
    </row>
    <row r="10" spans="2:16" ht="16.5" hidden="1" customHeight="1" x14ac:dyDescent="0.25">
      <c r="B10" s="339"/>
      <c r="C10" s="340"/>
      <c r="D10" s="100" t="s">
        <v>744</v>
      </c>
      <c r="E10" s="104">
        <v>1</v>
      </c>
      <c r="F10" s="104">
        <v>1</v>
      </c>
      <c r="G10" s="104">
        <f t="shared" si="0"/>
        <v>2</v>
      </c>
      <c r="H10" s="104">
        <v>105820</v>
      </c>
      <c r="I10" s="105">
        <v>5</v>
      </c>
      <c r="J10" s="105">
        <v>20</v>
      </c>
      <c r="K10" s="105">
        <f t="shared" si="1"/>
        <v>25</v>
      </c>
      <c r="L10" s="105">
        <v>1138725</v>
      </c>
      <c r="M10" s="105">
        <v>2</v>
      </c>
      <c r="N10" s="105"/>
      <c r="O10" s="117">
        <f t="shared" si="2"/>
        <v>29</v>
      </c>
      <c r="P10" s="120">
        <f t="shared" si="3"/>
        <v>1244545</v>
      </c>
    </row>
    <row r="11" spans="2:16" ht="16.5" customHeight="1" thickBot="1" x14ac:dyDescent="0.3">
      <c r="B11" s="246" t="s">
        <v>60</v>
      </c>
      <c r="C11" s="237">
        <v>2</v>
      </c>
      <c r="D11" s="238">
        <v>6</v>
      </c>
      <c r="E11" s="239">
        <f>SUM(E5:E10)</f>
        <v>19</v>
      </c>
      <c r="F11" s="239">
        <f>SUM(F5:F10)</f>
        <v>4</v>
      </c>
      <c r="G11" s="239">
        <v>24</v>
      </c>
      <c r="H11" s="239">
        <f t="shared" ref="H11:M11" si="4">SUM(H5:H10)</f>
        <v>1407910</v>
      </c>
      <c r="I11" s="239">
        <f t="shared" si="4"/>
        <v>15</v>
      </c>
      <c r="J11" s="239">
        <f t="shared" si="4"/>
        <v>60</v>
      </c>
      <c r="K11" s="239">
        <f t="shared" si="4"/>
        <v>75</v>
      </c>
      <c r="L11" s="239">
        <f t="shared" si="4"/>
        <v>3489589</v>
      </c>
      <c r="M11" s="239">
        <f t="shared" si="4"/>
        <v>10</v>
      </c>
      <c r="N11" s="239"/>
      <c r="O11" s="247">
        <v>109</v>
      </c>
      <c r="P11" s="130">
        <f t="shared" si="3"/>
        <v>4897499</v>
      </c>
    </row>
    <row r="12" spans="2:16" ht="16.5" hidden="1" customHeight="1" x14ac:dyDescent="0.25">
      <c r="B12" s="339" t="s">
        <v>495</v>
      </c>
      <c r="C12" s="340" t="s">
        <v>720</v>
      </c>
      <c r="D12" s="101" t="s">
        <v>721</v>
      </c>
      <c r="E12" s="103">
        <v>0</v>
      </c>
      <c r="F12" s="103">
        <v>0</v>
      </c>
      <c r="G12" s="104">
        <f t="shared" si="0"/>
        <v>0</v>
      </c>
      <c r="H12" s="103">
        <v>0</v>
      </c>
      <c r="I12" s="105">
        <v>0</v>
      </c>
      <c r="J12" s="105">
        <v>0</v>
      </c>
      <c r="K12" s="105">
        <f t="shared" si="1"/>
        <v>0</v>
      </c>
      <c r="L12" s="105"/>
      <c r="M12" s="105"/>
      <c r="N12" s="105"/>
      <c r="O12" s="117">
        <f t="shared" si="2"/>
        <v>0</v>
      </c>
      <c r="P12" s="122">
        <f t="shared" si="3"/>
        <v>0</v>
      </c>
    </row>
    <row r="13" spans="2:16" ht="16.5" hidden="1" customHeight="1" x14ac:dyDescent="0.25">
      <c r="B13" s="339"/>
      <c r="C13" s="340"/>
      <c r="D13" s="101" t="s">
        <v>722</v>
      </c>
      <c r="E13" s="103">
        <v>0</v>
      </c>
      <c r="F13" s="103">
        <v>0</v>
      </c>
      <c r="G13" s="104">
        <f t="shared" si="0"/>
        <v>0</v>
      </c>
      <c r="H13" s="103">
        <v>0</v>
      </c>
      <c r="I13" s="105">
        <v>5</v>
      </c>
      <c r="J13" s="105">
        <v>0</v>
      </c>
      <c r="K13" s="105">
        <f t="shared" si="1"/>
        <v>5</v>
      </c>
      <c r="L13" s="105">
        <v>283203</v>
      </c>
      <c r="M13" s="105">
        <v>2</v>
      </c>
      <c r="N13" s="105"/>
      <c r="O13" s="117">
        <f t="shared" si="2"/>
        <v>7</v>
      </c>
      <c r="P13" s="120">
        <f t="shared" si="3"/>
        <v>283203</v>
      </c>
    </row>
    <row r="14" spans="2:16" ht="16.5" hidden="1" customHeight="1" x14ac:dyDescent="0.25">
      <c r="B14" s="339"/>
      <c r="C14" s="340"/>
      <c r="D14" s="101" t="s">
        <v>723</v>
      </c>
      <c r="E14" s="103">
        <v>0</v>
      </c>
      <c r="F14" s="103">
        <v>0</v>
      </c>
      <c r="G14" s="104">
        <f t="shared" si="0"/>
        <v>0</v>
      </c>
      <c r="H14" s="103">
        <v>0</v>
      </c>
      <c r="I14" s="105"/>
      <c r="J14" s="105"/>
      <c r="K14" s="105">
        <f t="shared" si="1"/>
        <v>0</v>
      </c>
      <c r="L14" s="105"/>
      <c r="M14" s="105"/>
      <c r="N14" s="105"/>
      <c r="O14" s="117">
        <f t="shared" si="2"/>
        <v>0</v>
      </c>
      <c r="P14" s="120">
        <f t="shared" si="3"/>
        <v>0</v>
      </c>
    </row>
    <row r="15" spans="2:16" ht="16.5" customHeight="1" thickBot="1" x14ac:dyDescent="0.3">
      <c r="B15" s="246" t="s">
        <v>495</v>
      </c>
      <c r="C15" s="237">
        <v>1</v>
      </c>
      <c r="D15" s="238">
        <v>3</v>
      </c>
      <c r="E15" s="239">
        <f t="shared" ref="E15:G15" si="5">SUM(E12:E14)</f>
        <v>0</v>
      </c>
      <c r="F15" s="239">
        <f t="shared" si="5"/>
        <v>0</v>
      </c>
      <c r="G15" s="239">
        <f t="shared" si="5"/>
        <v>0</v>
      </c>
      <c r="H15" s="239">
        <f>SUM(H12:H14)</f>
        <v>0</v>
      </c>
      <c r="I15" s="239">
        <f t="shared" ref="I15:M15" si="6">SUM(I12:I14)</f>
        <v>5</v>
      </c>
      <c r="J15" s="239">
        <f t="shared" si="6"/>
        <v>0</v>
      </c>
      <c r="K15" s="239">
        <f t="shared" si="6"/>
        <v>5</v>
      </c>
      <c r="L15" s="239">
        <f t="shared" si="6"/>
        <v>283203</v>
      </c>
      <c r="M15" s="239">
        <f t="shared" si="6"/>
        <v>2</v>
      </c>
      <c r="N15" s="239">
        <v>22</v>
      </c>
      <c r="O15" s="247">
        <v>29</v>
      </c>
      <c r="P15" s="130">
        <f t="shared" si="3"/>
        <v>283203</v>
      </c>
    </row>
    <row r="16" spans="2:16" ht="16.5" hidden="1" customHeight="1" x14ac:dyDescent="0.25">
      <c r="B16" s="339" t="s">
        <v>210</v>
      </c>
      <c r="C16" s="340" t="s">
        <v>724</v>
      </c>
      <c r="D16" s="101" t="s">
        <v>725</v>
      </c>
      <c r="E16" s="103">
        <v>0</v>
      </c>
      <c r="F16" s="240">
        <v>1</v>
      </c>
      <c r="G16" s="104">
        <f t="shared" si="0"/>
        <v>1</v>
      </c>
      <c r="H16" s="240">
        <v>48800</v>
      </c>
      <c r="I16" s="105">
        <v>0</v>
      </c>
      <c r="J16" s="105">
        <v>4</v>
      </c>
      <c r="K16" s="105">
        <f t="shared" si="1"/>
        <v>4</v>
      </c>
      <c r="L16" s="105">
        <v>168252</v>
      </c>
      <c r="M16" s="105">
        <v>2</v>
      </c>
      <c r="N16" s="105"/>
      <c r="O16" s="117">
        <f t="shared" si="2"/>
        <v>7</v>
      </c>
      <c r="P16" s="119">
        <f t="shared" si="3"/>
        <v>217052</v>
      </c>
    </row>
    <row r="17" spans="2:16" ht="16.5" hidden="1" customHeight="1" x14ac:dyDescent="0.25">
      <c r="B17" s="339"/>
      <c r="C17" s="340"/>
      <c r="D17" s="101" t="s">
        <v>745</v>
      </c>
      <c r="E17" s="103">
        <v>0</v>
      </c>
      <c r="F17" s="103">
        <v>4</v>
      </c>
      <c r="G17" s="104">
        <f t="shared" si="0"/>
        <v>4</v>
      </c>
      <c r="H17" s="103">
        <v>195200</v>
      </c>
      <c r="I17" s="105">
        <v>0</v>
      </c>
      <c r="J17" s="105">
        <v>2</v>
      </c>
      <c r="K17" s="105">
        <f t="shared" si="1"/>
        <v>2</v>
      </c>
      <c r="L17" s="105">
        <v>84126</v>
      </c>
      <c r="M17" s="105"/>
      <c r="N17" s="105"/>
      <c r="O17" s="117">
        <f t="shared" si="2"/>
        <v>6</v>
      </c>
      <c r="P17" s="120">
        <f t="shared" si="3"/>
        <v>279326</v>
      </c>
    </row>
    <row r="18" spans="2:16" ht="16.5" hidden="1" customHeight="1" x14ac:dyDescent="0.25">
      <c r="B18" s="339"/>
      <c r="C18" s="340"/>
      <c r="D18" s="100" t="s">
        <v>746</v>
      </c>
      <c r="E18" s="104">
        <v>1</v>
      </c>
      <c r="F18" s="104">
        <v>2</v>
      </c>
      <c r="G18" s="104">
        <f t="shared" si="0"/>
        <v>3</v>
      </c>
      <c r="H18" s="104">
        <v>186600</v>
      </c>
      <c r="I18" s="105"/>
      <c r="J18" s="105"/>
      <c r="K18" s="105">
        <f t="shared" si="1"/>
        <v>0</v>
      </c>
      <c r="L18" s="105"/>
      <c r="M18" s="105">
        <v>4</v>
      </c>
      <c r="N18" s="105"/>
      <c r="O18" s="117">
        <f t="shared" si="2"/>
        <v>7</v>
      </c>
      <c r="P18" s="120">
        <f t="shared" si="3"/>
        <v>186600</v>
      </c>
    </row>
    <row r="19" spans="2:16" ht="16.5" hidden="1" customHeight="1" x14ac:dyDescent="0.25">
      <c r="B19" s="339"/>
      <c r="C19" s="340"/>
      <c r="D19" s="100" t="s">
        <v>747</v>
      </c>
      <c r="E19" s="104">
        <v>4</v>
      </c>
      <c r="F19" s="103">
        <v>0</v>
      </c>
      <c r="G19" s="104">
        <f t="shared" si="0"/>
        <v>4</v>
      </c>
      <c r="H19" s="103">
        <v>347000</v>
      </c>
      <c r="I19" s="105">
        <v>5</v>
      </c>
      <c r="J19" s="105">
        <v>0</v>
      </c>
      <c r="K19" s="105">
        <f t="shared" si="1"/>
        <v>5</v>
      </c>
      <c r="L19" s="105">
        <v>177609</v>
      </c>
      <c r="M19" s="105">
        <v>9</v>
      </c>
      <c r="N19" s="105"/>
      <c r="O19" s="117">
        <f t="shared" si="2"/>
        <v>18</v>
      </c>
      <c r="P19" s="120">
        <f t="shared" si="3"/>
        <v>524609</v>
      </c>
    </row>
    <row r="20" spans="2:16" ht="16.5" hidden="1" customHeight="1" x14ac:dyDescent="0.25">
      <c r="B20" s="339"/>
      <c r="C20" s="340" t="s">
        <v>726</v>
      </c>
      <c r="D20" s="100" t="s">
        <v>748</v>
      </c>
      <c r="E20" s="104">
        <v>2</v>
      </c>
      <c r="F20" s="103">
        <v>0</v>
      </c>
      <c r="G20" s="104">
        <f t="shared" si="0"/>
        <v>2</v>
      </c>
      <c r="H20" s="103">
        <v>172000</v>
      </c>
      <c r="I20" s="105"/>
      <c r="J20" s="105"/>
      <c r="K20" s="105">
        <f t="shared" si="1"/>
        <v>0</v>
      </c>
      <c r="L20" s="105"/>
      <c r="M20" s="105"/>
      <c r="N20" s="105"/>
      <c r="O20" s="117">
        <f t="shared" si="2"/>
        <v>2</v>
      </c>
      <c r="P20" s="120">
        <f t="shared" si="3"/>
        <v>172000</v>
      </c>
    </row>
    <row r="21" spans="2:16" ht="16.5" hidden="1" customHeight="1" x14ac:dyDescent="0.25">
      <c r="B21" s="339"/>
      <c r="C21" s="340"/>
      <c r="D21" s="101" t="s">
        <v>727</v>
      </c>
      <c r="E21" s="103">
        <v>0</v>
      </c>
      <c r="F21" s="103">
        <v>0</v>
      </c>
      <c r="G21" s="104">
        <f t="shared" si="0"/>
        <v>0</v>
      </c>
      <c r="H21" s="103">
        <v>0</v>
      </c>
      <c r="I21" s="105"/>
      <c r="J21" s="105"/>
      <c r="K21" s="105">
        <f t="shared" si="1"/>
        <v>0</v>
      </c>
      <c r="L21" s="105"/>
      <c r="M21" s="105">
        <v>1</v>
      </c>
      <c r="N21" s="105"/>
      <c r="O21" s="117">
        <f t="shared" si="2"/>
        <v>1</v>
      </c>
      <c r="P21" s="120">
        <f t="shared" si="3"/>
        <v>0</v>
      </c>
    </row>
    <row r="22" spans="2:16" ht="16.5" hidden="1" customHeight="1" x14ac:dyDescent="0.25">
      <c r="B22" s="339"/>
      <c r="C22" s="340"/>
      <c r="D22" s="100" t="s">
        <v>749</v>
      </c>
      <c r="E22" s="104">
        <v>1</v>
      </c>
      <c r="F22" s="104">
        <v>4</v>
      </c>
      <c r="G22" s="104">
        <f t="shared" si="0"/>
        <v>5</v>
      </c>
      <c r="H22" s="104">
        <v>258200</v>
      </c>
      <c r="I22" s="105"/>
      <c r="J22" s="105"/>
      <c r="K22" s="105">
        <f t="shared" si="1"/>
        <v>0</v>
      </c>
      <c r="L22" s="105"/>
      <c r="M22" s="105">
        <v>1</v>
      </c>
      <c r="N22" s="105"/>
      <c r="O22" s="117">
        <f t="shared" si="2"/>
        <v>6</v>
      </c>
      <c r="P22" s="120">
        <f t="shared" si="3"/>
        <v>258200</v>
      </c>
    </row>
    <row r="23" spans="2:16" ht="16.5" hidden="1" customHeight="1" x14ac:dyDescent="0.25">
      <c r="B23" s="339"/>
      <c r="C23" s="340"/>
      <c r="D23" s="101" t="s">
        <v>750</v>
      </c>
      <c r="E23" s="103">
        <v>0</v>
      </c>
      <c r="F23" s="103">
        <v>0</v>
      </c>
      <c r="G23" s="104">
        <f t="shared" si="0"/>
        <v>0</v>
      </c>
      <c r="H23" s="103">
        <v>0</v>
      </c>
      <c r="I23" s="105"/>
      <c r="J23" s="105"/>
      <c r="K23" s="105">
        <f t="shared" si="1"/>
        <v>0</v>
      </c>
      <c r="L23" s="105"/>
      <c r="M23" s="105"/>
      <c r="N23" s="105"/>
      <c r="O23" s="117">
        <f t="shared" si="2"/>
        <v>0</v>
      </c>
      <c r="P23" s="120">
        <f t="shared" si="3"/>
        <v>0</v>
      </c>
    </row>
    <row r="24" spans="2:16" ht="16.5" hidden="1" customHeight="1" x14ac:dyDescent="0.25">
      <c r="B24" s="339"/>
      <c r="C24" s="340"/>
      <c r="D24" s="100" t="s">
        <v>751</v>
      </c>
      <c r="E24" s="104">
        <v>1</v>
      </c>
      <c r="F24" s="103">
        <v>0</v>
      </c>
      <c r="G24" s="104">
        <f t="shared" si="0"/>
        <v>1</v>
      </c>
      <c r="H24" s="103">
        <v>85000</v>
      </c>
      <c r="I24" s="105"/>
      <c r="J24" s="105"/>
      <c r="K24" s="105">
        <f t="shared" si="1"/>
        <v>0</v>
      </c>
      <c r="L24" s="105"/>
      <c r="M24" s="105"/>
      <c r="N24" s="105"/>
      <c r="O24" s="117">
        <f t="shared" si="2"/>
        <v>1</v>
      </c>
      <c r="P24" s="120">
        <f t="shared" si="3"/>
        <v>85000</v>
      </c>
    </row>
    <row r="25" spans="2:16" ht="16.5" hidden="1" customHeight="1" x14ac:dyDescent="0.25">
      <c r="B25" s="339"/>
      <c r="C25" s="340"/>
      <c r="D25" s="121" t="s">
        <v>752</v>
      </c>
      <c r="E25" s="104">
        <v>2</v>
      </c>
      <c r="F25" s="103">
        <v>0</v>
      </c>
      <c r="G25" s="104">
        <f t="shared" si="0"/>
        <v>2</v>
      </c>
      <c r="H25" s="103">
        <v>144000</v>
      </c>
      <c r="I25" s="105"/>
      <c r="J25" s="105"/>
      <c r="K25" s="105">
        <f t="shared" si="1"/>
        <v>0</v>
      </c>
      <c r="L25" s="105"/>
      <c r="M25" s="105">
        <v>1</v>
      </c>
      <c r="N25" s="105"/>
      <c r="O25" s="117">
        <f t="shared" si="2"/>
        <v>3</v>
      </c>
      <c r="P25" s="120">
        <f t="shared" si="3"/>
        <v>144000</v>
      </c>
    </row>
    <row r="26" spans="2:16" ht="16.5" hidden="1" customHeight="1" x14ac:dyDescent="0.25">
      <c r="B26" s="339"/>
      <c r="C26" s="340"/>
      <c r="D26" s="101" t="s">
        <v>728</v>
      </c>
      <c r="E26" s="103">
        <v>0</v>
      </c>
      <c r="F26" s="103">
        <v>0</v>
      </c>
      <c r="G26" s="104">
        <f t="shared" si="0"/>
        <v>0</v>
      </c>
      <c r="H26" s="103">
        <v>0</v>
      </c>
      <c r="I26" s="105">
        <v>1</v>
      </c>
      <c r="J26" s="105">
        <v>1</v>
      </c>
      <c r="K26" s="105">
        <f t="shared" si="1"/>
        <v>2</v>
      </c>
      <c r="L26" s="105">
        <v>119015</v>
      </c>
      <c r="M26" s="105"/>
      <c r="N26" s="105"/>
      <c r="O26" s="117">
        <f t="shared" si="2"/>
        <v>2</v>
      </c>
      <c r="P26" s="120">
        <f t="shared" si="3"/>
        <v>119015</v>
      </c>
    </row>
    <row r="27" spans="2:16" ht="16.5" hidden="1" customHeight="1" x14ac:dyDescent="0.25">
      <c r="B27" s="339"/>
      <c r="C27" s="340"/>
      <c r="D27" s="100" t="s">
        <v>753</v>
      </c>
      <c r="E27" s="104">
        <v>1</v>
      </c>
      <c r="F27" s="103">
        <v>0</v>
      </c>
      <c r="G27" s="104">
        <f t="shared" si="0"/>
        <v>1</v>
      </c>
      <c r="H27" s="103">
        <v>60000</v>
      </c>
      <c r="I27" s="105"/>
      <c r="J27" s="105"/>
      <c r="K27" s="105">
        <f t="shared" si="1"/>
        <v>0</v>
      </c>
      <c r="L27" s="105"/>
      <c r="M27" s="105"/>
      <c r="N27" s="105"/>
      <c r="O27" s="117">
        <f t="shared" si="2"/>
        <v>1</v>
      </c>
      <c r="P27" s="120">
        <f t="shared" si="3"/>
        <v>60000</v>
      </c>
    </row>
    <row r="28" spans="2:16" ht="16.5" hidden="1" customHeight="1" x14ac:dyDescent="0.25">
      <c r="B28" s="339"/>
      <c r="C28" s="340"/>
      <c r="D28" s="101" t="s">
        <v>729</v>
      </c>
      <c r="E28" s="103">
        <v>0</v>
      </c>
      <c r="F28" s="103">
        <v>0</v>
      </c>
      <c r="G28" s="104">
        <f t="shared" si="0"/>
        <v>0</v>
      </c>
      <c r="H28" s="103">
        <v>0</v>
      </c>
      <c r="I28" s="105"/>
      <c r="J28" s="105"/>
      <c r="K28" s="105">
        <f t="shared" si="1"/>
        <v>0</v>
      </c>
      <c r="L28" s="105"/>
      <c r="M28" s="105"/>
      <c r="N28" s="105"/>
      <c r="O28" s="117">
        <f t="shared" si="2"/>
        <v>0</v>
      </c>
      <c r="P28" s="120">
        <f t="shared" si="3"/>
        <v>0</v>
      </c>
    </row>
    <row r="29" spans="2:16" ht="16.5" hidden="1" customHeight="1" x14ac:dyDescent="0.25">
      <c r="B29" s="339"/>
      <c r="C29" s="340"/>
      <c r="D29" s="100" t="s">
        <v>754</v>
      </c>
      <c r="E29" s="104">
        <v>6</v>
      </c>
      <c r="F29" s="103">
        <v>0</v>
      </c>
      <c r="G29" s="104">
        <f t="shared" si="0"/>
        <v>6</v>
      </c>
      <c r="H29" s="103">
        <v>344000</v>
      </c>
      <c r="I29" s="105"/>
      <c r="J29" s="105"/>
      <c r="K29" s="105">
        <f t="shared" si="1"/>
        <v>0</v>
      </c>
      <c r="L29" s="105"/>
      <c r="M29" s="105">
        <v>1</v>
      </c>
      <c r="N29" s="105"/>
      <c r="O29" s="117">
        <f t="shared" si="2"/>
        <v>7</v>
      </c>
      <c r="P29" s="120">
        <f t="shared" si="3"/>
        <v>344000</v>
      </c>
    </row>
    <row r="30" spans="2:16" ht="16.5" hidden="1" customHeight="1" x14ac:dyDescent="0.25">
      <c r="B30" s="339"/>
      <c r="C30" s="340"/>
      <c r="D30" s="101" t="s">
        <v>730</v>
      </c>
      <c r="E30" s="103">
        <v>0</v>
      </c>
      <c r="F30" s="103">
        <v>0</v>
      </c>
      <c r="G30" s="104">
        <f t="shared" si="0"/>
        <v>0</v>
      </c>
      <c r="H30" s="103">
        <v>0</v>
      </c>
      <c r="I30" s="105"/>
      <c r="J30" s="105"/>
      <c r="K30" s="105">
        <f t="shared" si="1"/>
        <v>0</v>
      </c>
      <c r="L30" s="105"/>
      <c r="M30" s="105"/>
      <c r="N30" s="105"/>
      <c r="O30" s="117">
        <f t="shared" si="2"/>
        <v>0</v>
      </c>
      <c r="P30" s="120">
        <f t="shared" si="3"/>
        <v>0</v>
      </c>
    </row>
    <row r="31" spans="2:16" ht="16.5" hidden="1" customHeight="1" x14ac:dyDescent="0.25">
      <c r="B31" s="339"/>
      <c r="C31" s="340"/>
      <c r="D31" s="101" t="s">
        <v>731</v>
      </c>
      <c r="E31" s="103">
        <v>0</v>
      </c>
      <c r="F31" s="103">
        <v>0</v>
      </c>
      <c r="G31" s="104">
        <f t="shared" si="0"/>
        <v>0</v>
      </c>
      <c r="H31" s="103">
        <v>0</v>
      </c>
      <c r="I31" s="105"/>
      <c r="J31" s="105"/>
      <c r="K31" s="105">
        <f t="shared" si="1"/>
        <v>0</v>
      </c>
      <c r="L31" s="105"/>
      <c r="M31" s="105"/>
      <c r="N31" s="105"/>
      <c r="O31" s="117">
        <f t="shared" si="2"/>
        <v>0</v>
      </c>
      <c r="P31" s="120">
        <f t="shared" si="3"/>
        <v>0</v>
      </c>
    </row>
    <row r="32" spans="2:16" ht="16.5" customHeight="1" x14ac:dyDescent="0.25">
      <c r="B32" s="246" t="s">
        <v>210</v>
      </c>
      <c r="C32" s="237">
        <v>2</v>
      </c>
      <c r="D32" s="238">
        <v>16</v>
      </c>
      <c r="E32" s="239">
        <f t="shared" ref="E32:P32" si="7">SUM(E16:E31)</f>
        <v>18</v>
      </c>
      <c r="F32" s="239">
        <f t="shared" si="7"/>
        <v>11</v>
      </c>
      <c r="G32" s="239">
        <f t="shared" si="7"/>
        <v>29</v>
      </c>
      <c r="H32" s="239">
        <f t="shared" si="7"/>
        <v>1840800</v>
      </c>
      <c r="I32" s="239">
        <f t="shared" si="7"/>
        <v>6</v>
      </c>
      <c r="J32" s="239">
        <f t="shared" si="7"/>
        <v>7</v>
      </c>
      <c r="K32" s="239">
        <f t="shared" si="7"/>
        <v>13</v>
      </c>
      <c r="L32" s="239">
        <f t="shared" si="7"/>
        <v>549002</v>
      </c>
      <c r="M32" s="239">
        <f t="shared" si="7"/>
        <v>19</v>
      </c>
      <c r="N32" s="239"/>
      <c r="O32" s="247">
        <f t="shared" si="7"/>
        <v>61</v>
      </c>
      <c r="P32" s="131">
        <f t="shared" si="7"/>
        <v>2389802</v>
      </c>
    </row>
    <row r="33" spans="2:16" ht="16.5" hidden="1" customHeight="1" x14ac:dyDescent="0.25">
      <c r="B33" s="145" t="s">
        <v>732</v>
      </c>
      <c r="C33" s="241" t="s">
        <v>733</v>
      </c>
      <c r="D33" s="101" t="s">
        <v>734</v>
      </c>
      <c r="E33" s="103">
        <v>0</v>
      </c>
      <c r="F33" s="103">
        <v>0</v>
      </c>
      <c r="G33" s="104">
        <f t="shared" si="0"/>
        <v>0</v>
      </c>
      <c r="H33" s="103">
        <v>0</v>
      </c>
      <c r="I33" s="242">
        <v>3</v>
      </c>
      <c r="J33" s="242"/>
      <c r="K33" s="105">
        <f t="shared" si="1"/>
        <v>3</v>
      </c>
      <c r="L33" s="242">
        <v>99000</v>
      </c>
      <c r="M33" s="242">
        <v>1</v>
      </c>
      <c r="N33" s="242"/>
      <c r="O33" s="117">
        <f t="shared" si="2"/>
        <v>4</v>
      </c>
      <c r="P33" s="120">
        <f t="shared" si="3"/>
        <v>99000</v>
      </c>
    </row>
    <row r="34" spans="2:16" ht="16.5" customHeight="1" x14ac:dyDescent="0.25">
      <c r="B34" s="246" t="s">
        <v>304</v>
      </c>
      <c r="C34" s="237">
        <v>1</v>
      </c>
      <c r="D34" s="243">
        <v>1</v>
      </c>
      <c r="E34" s="239">
        <f t="shared" ref="E34:H34" si="8">+E33</f>
        <v>0</v>
      </c>
      <c r="F34" s="239">
        <f t="shared" si="8"/>
        <v>0</v>
      </c>
      <c r="G34" s="239">
        <f t="shared" si="8"/>
        <v>0</v>
      </c>
      <c r="H34" s="239">
        <f t="shared" si="8"/>
        <v>0</v>
      </c>
      <c r="I34" s="239">
        <f>+I33</f>
        <v>3</v>
      </c>
      <c r="J34" s="239">
        <f t="shared" ref="J34:O34" si="9">+J33</f>
        <v>0</v>
      </c>
      <c r="K34" s="239">
        <f t="shared" si="9"/>
        <v>3</v>
      </c>
      <c r="L34" s="239">
        <f t="shared" si="9"/>
        <v>99000</v>
      </c>
      <c r="M34" s="239">
        <f t="shared" si="9"/>
        <v>1</v>
      </c>
      <c r="N34" s="239"/>
      <c r="O34" s="247">
        <f t="shared" si="9"/>
        <v>4</v>
      </c>
      <c r="P34" s="133">
        <f t="shared" si="3"/>
        <v>99000</v>
      </c>
    </row>
    <row r="35" spans="2:16" ht="16.5" hidden="1" customHeight="1" x14ac:dyDescent="0.25">
      <c r="B35" s="145" t="s">
        <v>735</v>
      </c>
      <c r="C35" s="241" t="s">
        <v>736</v>
      </c>
      <c r="D35" s="101" t="s">
        <v>737</v>
      </c>
      <c r="E35" s="103">
        <v>0</v>
      </c>
      <c r="F35" s="103">
        <v>0</v>
      </c>
      <c r="G35" s="104">
        <f t="shared" si="0"/>
        <v>0</v>
      </c>
      <c r="H35" s="103">
        <v>0</v>
      </c>
      <c r="I35" s="242"/>
      <c r="J35" s="242"/>
      <c r="K35" s="105">
        <f t="shared" si="1"/>
        <v>0</v>
      </c>
      <c r="L35" s="242"/>
      <c r="M35" s="242">
        <v>3</v>
      </c>
      <c r="N35" s="242"/>
      <c r="O35" s="117">
        <f t="shared" si="2"/>
        <v>3</v>
      </c>
      <c r="P35" s="120">
        <f t="shared" si="3"/>
        <v>0</v>
      </c>
    </row>
    <row r="36" spans="2:16" ht="16.5" customHeight="1" thickBot="1" x14ac:dyDescent="0.3">
      <c r="B36" s="246" t="s">
        <v>735</v>
      </c>
      <c r="C36" s="237">
        <v>1</v>
      </c>
      <c r="D36" s="244">
        <v>1</v>
      </c>
      <c r="E36" s="245">
        <f>+E35</f>
        <v>0</v>
      </c>
      <c r="F36" s="245">
        <f t="shared" ref="F36:O36" si="10">+F35</f>
        <v>0</v>
      </c>
      <c r="G36" s="245">
        <f t="shared" si="10"/>
        <v>0</v>
      </c>
      <c r="H36" s="245">
        <f t="shared" si="10"/>
        <v>0</v>
      </c>
      <c r="I36" s="245">
        <f t="shared" si="10"/>
        <v>0</v>
      </c>
      <c r="J36" s="245">
        <f t="shared" si="10"/>
        <v>0</v>
      </c>
      <c r="K36" s="245">
        <f t="shared" si="10"/>
        <v>0</v>
      </c>
      <c r="L36" s="245">
        <f t="shared" si="10"/>
        <v>0</v>
      </c>
      <c r="M36" s="245">
        <f t="shared" si="10"/>
        <v>3</v>
      </c>
      <c r="N36" s="245"/>
      <c r="O36" s="248">
        <f t="shared" si="10"/>
        <v>3</v>
      </c>
      <c r="P36" s="139">
        <f t="shared" si="3"/>
        <v>0</v>
      </c>
    </row>
    <row r="37" spans="2:16" ht="16.5" customHeight="1" thickBot="1" x14ac:dyDescent="0.3">
      <c r="B37" s="249" t="s">
        <v>675</v>
      </c>
      <c r="C37" s="250">
        <v>7</v>
      </c>
      <c r="D37" s="250">
        <v>27</v>
      </c>
      <c r="E37" s="251">
        <f>+E36+E34+E32+E15+E11</f>
        <v>37</v>
      </c>
      <c r="F37" s="251">
        <f>+F36+F34+F32+F15+F11</f>
        <v>15</v>
      </c>
      <c r="G37" s="251">
        <f>+G36+G34+G32+G15+G11</f>
        <v>53</v>
      </c>
      <c r="H37" s="251">
        <f>+H36+H34+H32+H15+H11</f>
        <v>3248710</v>
      </c>
      <c r="I37" s="251">
        <f t="shared" ref="I37:L37" si="11">+I36+I34+I32+I15+I11</f>
        <v>29</v>
      </c>
      <c r="J37" s="251">
        <f t="shared" si="11"/>
        <v>67</v>
      </c>
      <c r="K37" s="251">
        <f t="shared" si="11"/>
        <v>96</v>
      </c>
      <c r="L37" s="251">
        <f t="shared" si="11"/>
        <v>4420794</v>
      </c>
      <c r="M37" s="251">
        <f>+M36+M34+M32+M15+M11</f>
        <v>35</v>
      </c>
      <c r="N37" s="251">
        <v>22</v>
      </c>
      <c r="O37" s="252">
        <f>+O11+O15+O32+O34+O36</f>
        <v>206</v>
      </c>
      <c r="P37" s="143">
        <f t="shared" si="3"/>
        <v>7669504</v>
      </c>
    </row>
    <row r="38" spans="2:16" x14ac:dyDescent="0.25">
      <c r="F38" s="99"/>
      <c r="G38" s="99"/>
      <c r="J38" s="99"/>
      <c r="K38" s="99"/>
      <c r="M38" s="99"/>
      <c r="N38" s="99"/>
      <c r="O38" s="99"/>
      <c r="P38" s="99"/>
    </row>
  </sheetData>
  <mergeCells count="16">
    <mergeCell ref="B16:B31"/>
    <mergeCell ref="C16:C19"/>
    <mergeCell ref="C20:C31"/>
    <mergeCell ref="B1:O1"/>
    <mergeCell ref="B2:O2"/>
    <mergeCell ref="B3:B4"/>
    <mergeCell ref="C3:C4"/>
    <mergeCell ref="D3:D4"/>
    <mergeCell ref="E3:H3"/>
    <mergeCell ref="I3:L3"/>
    <mergeCell ref="O3:O4"/>
    <mergeCell ref="B5:B10"/>
    <mergeCell ref="C5:C7"/>
    <mergeCell ref="C8:C10"/>
    <mergeCell ref="B12:B14"/>
    <mergeCell ref="C12: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C78"/>
  <sheetViews>
    <sheetView showGridLines="0" workbookViewId="0">
      <selection activeCell="K5" sqref="K5"/>
    </sheetView>
  </sheetViews>
  <sheetFormatPr baseColWidth="10" defaultRowHeight="15" x14ac:dyDescent="0.25"/>
  <cols>
    <col min="1" max="1" width="2.140625" style="1" customWidth="1"/>
    <col min="2" max="2" width="5.28515625" style="1" customWidth="1"/>
    <col min="3" max="3" width="6.7109375" style="1" customWidth="1"/>
    <col min="4" max="4" width="10.7109375" style="1" customWidth="1"/>
    <col min="5" max="5" width="39.85546875" style="1" customWidth="1"/>
    <col min="6" max="6" width="39.140625" style="1" customWidth="1"/>
    <col min="7" max="7" width="10.28515625" style="1" customWidth="1"/>
    <col min="8" max="8" width="13.42578125" style="1" customWidth="1"/>
    <col min="9" max="9" width="11" style="1" customWidth="1"/>
    <col min="10" max="10" width="13" style="1" customWidth="1"/>
    <col min="11" max="11" width="12.5703125" style="1" customWidth="1"/>
    <col min="12" max="12" width="10.5703125" style="1" customWidth="1"/>
    <col min="13" max="14" width="12.5703125" style="1" hidden="1" customWidth="1"/>
    <col min="15" max="15" width="9.5703125" style="1" hidden="1" customWidth="1"/>
    <col min="16" max="16" width="7" style="1" customWidth="1"/>
    <col min="17" max="17" width="7.5703125" style="2" hidden="1" customWidth="1"/>
    <col min="18" max="18" width="10.7109375" style="2" hidden="1" customWidth="1"/>
    <col min="19" max="19" width="13.85546875" style="2" hidden="1" customWidth="1"/>
    <col min="20" max="20" width="18.85546875" style="2" hidden="1" customWidth="1"/>
    <col min="21" max="22" width="18.140625" style="2" hidden="1" customWidth="1"/>
    <col min="23" max="23" width="8.140625" style="2" customWidth="1"/>
    <col min="24" max="24" width="15.7109375" style="2" hidden="1" customWidth="1"/>
    <col min="25" max="25" width="15" style="2" hidden="1" customWidth="1"/>
    <col min="26" max="26" width="20.42578125" style="2" hidden="1" customWidth="1"/>
    <col min="27" max="28" width="19.7109375" style="2" hidden="1" customWidth="1"/>
    <col min="29" max="29" width="10.85546875" style="2" customWidth="1"/>
    <col min="30" max="30" width="10.42578125" style="2" customWidth="1"/>
    <col min="31" max="31" width="9.7109375" style="2" customWidth="1"/>
    <col min="32" max="32" width="10.5703125" style="2" customWidth="1"/>
    <col min="33" max="33" width="7" style="2" hidden="1" customWidth="1"/>
    <col min="34" max="34" width="7.140625" style="2" customWidth="1"/>
    <col min="35" max="35" width="15.42578125" style="2" hidden="1" customWidth="1"/>
    <col min="36" max="36" width="13.5703125" style="2" hidden="1" customWidth="1"/>
    <col min="37" max="37" width="13.42578125" style="2" hidden="1" customWidth="1"/>
    <col min="38" max="38" width="16.42578125" style="2" hidden="1" customWidth="1"/>
    <col min="39" max="39" width="13.85546875" style="2" hidden="1" customWidth="1"/>
    <col min="40" max="40" width="17" style="2" hidden="1" customWidth="1"/>
    <col min="41" max="41" width="15.5703125" style="2" hidden="1" customWidth="1"/>
    <col min="42" max="42" width="17.42578125" style="2" hidden="1" customWidth="1"/>
    <col min="43" max="43" width="13.85546875" style="2" hidden="1" customWidth="1"/>
    <col min="44" max="44" width="14.5703125" style="2" hidden="1" customWidth="1"/>
    <col min="45" max="45" width="16.5703125" style="2" hidden="1" customWidth="1"/>
    <col min="46" max="46" width="17.42578125" style="2" hidden="1" customWidth="1"/>
    <col min="47" max="47" width="13.85546875" style="3" hidden="1" customWidth="1"/>
    <col min="48" max="48" width="15.5703125" style="3" hidden="1" customWidth="1"/>
    <col min="49" max="49" width="17.5703125" style="3" hidden="1" customWidth="1"/>
    <col min="50" max="50" width="18.42578125" style="3" hidden="1" customWidth="1"/>
    <col min="51" max="51" width="14.85546875" style="2" hidden="1" customWidth="1"/>
    <col min="52" max="52" width="15.5703125" style="2" hidden="1" customWidth="1"/>
    <col min="53" max="53" width="17.5703125" style="2" hidden="1" customWidth="1"/>
    <col min="54" max="54" width="17.140625" style="2" hidden="1" customWidth="1"/>
    <col min="55" max="55" width="4.7109375" style="4" customWidth="1"/>
    <col min="56" max="56" width="11.42578125" style="1"/>
    <col min="57" max="57" width="44.42578125" style="1" customWidth="1"/>
    <col min="58" max="16384" width="11.42578125" style="1"/>
  </cols>
  <sheetData>
    <row r="2" spans="2:55" ht="30.75" customHeight="1" thickBot="1" x14ac:dyDescent="0.3">
      <c r="B2" s="284" t="s">
        <v>324</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row>
    <row r="3" spans="2:55" s="5" customFormat="1" ht="9.75" customHeight="1" x14ac:dyDescent="0.25">
      <c r="B3" s="265" t="s">
        <v>0</v>
      </c>
      <c r="C3" s="263" t="s">
        <v>1</v>
      </c>
      <c r="D3" s="263" t="s">
        <v>2</v>
      </c>
      <c r="E3" s="263" t="s">
        <v>3</v>
      </c>
      <c r="F3" s="263" t="s">
        <v>4</v>
      </c>
      <c r="G3" s="263" t="s">
        <v>5</v>
      </c>
      <c r="H3" s="263" t="s">
        <v>6</v>
      </c>
      <c r="I3" s="263" t="s">
        <v>322</v>
      </c>
      <c r="J3" s="263" t="s">
        <v>7</v>
      </c>
      <c r="K3" s="263" t="s">
        <v>8</v>
      </c>
      <c r="L3" s="263" t="s">
        <v>678</v>
      </c>
      <c r="M3" s="263" t="s">
        <v>9</v>
      </c>
      <c r="N3" s="263" t="s">
        <v>10</v>
      </c>
      <c r="O3" s="263" t="s">
        <v>11</v>
      </c>
      <c r="P3" s="263" t="s">
        <v>12</v>
      </c>
      <c r="Q3" s="276" t="s">
        <v>13</v>
      </c>
      <c r="R3" s="276" t="s">
        <v>14</v>
      </c>
      <c r="S3" s="276" t="s">
        <v>15</v>
      </c>
      <c r="T3" s="278" t="s">
        <v>16</v>
      </c>
      <c r="U3" s="278" t="s">
        <v>17</v>
      </c>
      <c r="V3" s="280" t="s">
        <v>18</v>
      </c>
      <c r="W3" s="282" t="s">
        <v>676</v>
      </c>
      <c r="X3" s="282" t="s">
        <v>19</v>
      </c>
      <c r="Y3" s="282" t="s">
        <v>20</v>
      </c>
      <c r="Z3" s="274" t="s">
        <v>21</v>
      </c>
      <c r="AA3" s="274" t="s">
        <v>22</v>
      </c>
      <c r="AB3" s="311" t="s">
        <v>23</v>
      </c>
      <c r="AC3" s="271" t="s">
        <v>323</v>
      </c>
      <c r="AD3" s="272"/>
      <c r="AE3" s="272"/>
      <c r="AF3" s="273"/>
      <c r="AG3" s="313" t="s">
        <v>24</v>
      </c>
      <c r="AH3" s="267" t="s">
        <v>24</v>
      </c>
      <c r="AI3" s="308" t="s">
        <v>25</v>
      </c>
      <c r="AJ3" s="309"/>
      <c r="AK3" s="309"/>
      <c r="AL3" s="309"/>
      <c r="AM3" s="309"/>
      <c r="AN3" s="309"/>
      <c r="AO3" s="309"/>
      <c r="AP3" s="310"/>
      <c r="AQ3" s="302" t="s">
        <v>26</v>
      </c>
      <c r="AR3" s="303"/>
      <c r="AS3" s="303"/>
      <c r="AT3" s="303"/>
      <c r="AU3" s="303"/>
      <c r="AV3" s="303"/>
      <c r="AW3" s="303"/>
      <c r="AX3" s="304"/>
      <c r="AY3" s="290" t="s">
        <v>27</v>
      </c>
      <c r="AZ3" s="291"/>
      <c r="BA3" s="291"/>
      <c r="BB3" s="292"/>
      <c r="BC3" s="6"/>
    </row>
    <row r="4" spans="2:55" s="5" customFormat="1" ht="15" customHeight="1" x14ac:dyDescent="0.25">
      <c r="B4" s="266"/>
      <c r="C4" s="264"/>
      <c r="D4" s="264"/>
      <c r="E4" s="264"/>
      <c r="F4" s="264"/>
      <c r="G4" s="264"/>
      <c r="H4" s="264"/>
      <c r="I4" s="264"/>
      <c r="J4" s="264"/>
      <c r="K4" s="264"/>
      <c r="L4" s="264"/>
      <c r="M4" s="264"/>
      <c r="N4" s="264"/>
      <c r="O4" s="264"/>
      <c r="P4" s="264"/>
      <c r="Q4" s="277"/>
      <c r="R4" s="277"/>
      <c r="S4" s="277"/>
      <c r="T4" s="279"/>
      <c r="U4" s="279"/>
      <c r="V4" s="281"/>
      <c r="W4" s="283"/>
      <c r="X4" s="283"/>
      <c r="Y4" s="283"/>
      <c r="Z4" s="275"/>
      <c r="AA4" s="275"/>
      <c r="AB4" s="312"/>
      <c r="AC4" s="48" t="s">
        <v>316</v>
      </c>
      <c r="AD4" s="269" t="s">
        <v>321</v>
      </c>
      <c r="AE4" s="270"/>
      <c r="AF4" s="7" t="s">
        <v>673</v>
      </c>
      <c r="AG4" s="314"/>
      <c r="AH4" s="268"/>
      <c r="AI4" s="296" t="s">
        <v>28</v>
      </c>
      <c r="AJ4" s="296"/>
      <c r="AK4" s="297"/>
      <c r="AL4" s="47" t="s">
        <v>29</v>
      </c>
      <c r="AM4" s="269" t="s">
        <v>30</v>
      </c>
      <c r="AN4" s="298"/>
      <c r="AO4" s="270"/>
      <c r="AP4" s="48" t="s">
        <v>29</v>
      </c>
      <c r="AQ4" s="299" t="s">
        <v>31</v>
      </c>
      <c r="AR4" s="300"/>
      <c r="AS4" s="301"/>
      <c r="AT4" s="46" t="s">
        <v>29</v>
      </c>
      <c r="AU4" s="305" t="s">
        <v>32</v>
      </c>
      <c r="AV4" s="306"/>
      <c r="AW4" s="307"/>
      <c r="AX4" s="49" t="s">
        <v>29</v>
      </c>
      <c r="AY4" s="293"/>
      <c r="AZ4" s="294"/>
      <c r="BA4" s="294"/>
      <c r="BB4" s="295"/>
      <c r="BC4" s="6"/>
    </row>
    <row r="5" spans="2:55" s="11" customFormat="1" ht="33.75" customHeight="1" thickBot="1" x14ac:dyDescent="0.3">
      <c r="B5" s="61" t="s">
        <v>0</v>
      </c>
      <c r="C5" s="62" t="s">
        <v>1</v>
      </c>
      <c r="D5" s="62" t="s">
        <v>2</v>
      </c>
      <c r="E5" s="62" t="s">
        <v>3</v>
      </c>
      <c r="F5" s="62" t="s">
        <v>4</v>
      </c>
      <c r="G5" s="62" t="s">
        <v>5</v>
      </c>
      <c r="H5" s="62" t="s">
        <v>6</v>
      </c>
      <c r="I5" s="62" t="s">
        <v>322</v>
      </c>
      <c r="J5" s="62" t="s">
        <v>7</v>
      </c>
      <c r="K5" s="62" t="s">
        <v>8</v>
      </c>
      <c r="L5" s="62" t="s">
        <v>674</v>
      </c>
      <c r="M5" s="62" t="s">
        <v>9</v>
      </c>
      <c r="N5" s="62" t="s">
        <v>10</v>
      </c>
      <c r="O5" s="62" t="s">
        <v>11</v>
      </c>
      <c r="P5" s="62" t="s">
        <v>12</v>
      </c>
      <c r="Q5" s="62" t="s">
        <v>13</v>
      </c>
      <c r="R5" s="62" t="s">
        <v>36</v>
      </c>
      <c r="S5" s="62" t="s">
        <v>15</v>
      </c>
      <c r="T5" s="62" t="s">
        <v>16</v>
      </c>
      <c r="U5" s="62" t="s">
        <v>17</v>
      </c>
      <c r="V5" s="62" t="s">
        <v>18</v>
      </c>
      <c r="W5" s="62" t="s">
        <v>677</v>
      </c>
      <c r="X5" s="62" t="s">
        <v>37</v>
      </c>
      <c r="Y5" s="62" t="s">
        <v>38</v>
      </c>
      <c r="Z5" s="62" t="s">
        <v>39</v>
      </c>
      <c r="AA5" s="62" t="s">
        <v>40</v>
      </c>
      <c r="AB5" s="62" t="s">
        <v>23</v>
      </c>
      <c r="AC5" s="63" t="s">
        <v>316</v>
      </c>
      <c r="AD5" s="63" t="s">
        <v>318</v>
      </c>
      <c r="AE5" s="63" t="s">
        <v>317</v>
      </c>
      <c r="AF5" s="63" t="s">
        <v>675</v>
      </c>
      <c r="AG5" s="62" t="s">
        <v>24</v>
      </c>
      <c r="AH5" s="64" t="s">
        <v>315</v>
      </c>
      <c r="AI5" s="55" t="s">
        <v>33</v>
      </c>
      <c r="AJ5" s="8" t="s">
        <v>34</v>
      </c>
      <c r="AK5" s="8" t="s">
        <v>41</v>
      </c>
      <c r="AL5" s="8" t="s">
        <v>29</v>
      </c>
      <c r="AM5" s="8" t="s">
        <v>42</v>
      </c>
      <c r="AN5" s="8" t="s">
        <v>43</v>
      </c>
      <c r="AO5" s="8" t="s">
        <v>35</v>
      </c>
      <c r="AP5" s="8" t="s">
        <v>44</v>
      </c>
      <c r="AQ5" s="8" t="s">
        <v>45</v>
      </c>
      <c r="AR5" s="8" t="s">
        <v>46</v>
      </c>
      <c r="AS5" s="8" t="s">
        <v>47</v>
      </c>
      <c r="AT5" s="8" t="s">
        <v>48</v>
      </c>
      <c r="AU5" s="9" t="s">
        <v>49</v>
      </c>
      <c r="AV5" s="9" t="s">
        <v>50</v>
      </c>
      <c r="AW5" s="9" t="s">
        <v>51</v>
      </c>
      <c r="AX5" s="9" t="s">
        <v>52</v>
      </c>
      <c r="AY5" s="8" t="s">
        <v>53</v>
      </c>
      <c r="AZ5" s="8" t="s">
        <v>54</v>
      </c>
      <c r="BA5" s="8" t="s">
        <v>55</v>
      </c>
      <c r="BB5" s="8" t="s">
        <v>56</v>
      </c>
      <c r="BC5" s="10"/>
    </row>
    <row r="6" spans="2:55" s="17" customFormat="1" ht="25.5" x14ac:dyDescent="0.25">
      <c r="B6" s="56">
        <v>1</v>
      </c>
      <c r="C6" s="56" t="s">
        <v>68</v>
      </c>
      <c r="D6" s="56" t="s">
        <v>78</v>
      </c>
      <c r="E6" s="56" t="s">
        <v>79</v>
      </c>
      <c r="F6" s="56" t="s">
        <v>80</v>
      </c>
      <c r="G6" s="56" t="s">
        <v>71</v>
      </c>
      <c r="H6" s="56" t="s">
        <v>77</v>
      </c>
      <c r="I6" s="56" t="s">
        <v>60</v>
      </c>
      <c r="J6" s="56" t="s">
        <v>75</v>
      </c>
      <c r="K6" s="56" t="s">
        <v>81</v>
      </c>
      <c r="L6" s="56" t="s">
        <v>82</v>
      </c>
      <c r="M6" s="56">
        <v>-13.534287452699999</v>
      </c>
      <c r="N6" s="56">
        <v>-73.396041870120001</v>
      </c>
      <c r="O6" s="57">
        <v>2618</v>
      </c>
      <c r="P6" s="56">
        <v>1</v>
      </c>
      <c r="Q6" s="58">
        <v>60</v>
      </c>
      <c r="R6" s="58">
        <v>29</v>
      </c>
      <c r="S6" s="58">
        <v>31</v>
      </c>
      <c r="T6" s="58">
        <v>4</v>
      </c>
      <c r="U6" s="58">
        <v>6</v>
      </c>
      <c r="V6" s="58">
        <f>Tabla1[[#This Row],[Nº SOCIO JOVEN(M)]]+Tabla1[[#This Row],[Nº SOCIO JOVEN(F)]]</f>
        <v>10</v>
      </c>
      <c r="W6" s="58">
        <v>51</v>
      </c>
      <c r="X6" s="58">
        <v>23</v>
      </c>
      <c r="Y6" s="58">
        <v>28</v>
      </c>
      <c r="Z6" s="58">
        <v>4</v>
      </c>
      <c r="AA6" s="58">
        <v>5</v>
      </c>
      <c r="AB6" s="58">
        <f>Tabla1[[#This Row],[Nº FAMILIA JOVEN(M)]]+Tabla1[[#This Row],[Nº FAMILIA JOVEN(F)]]</f>
        <v>9</v>
      </c>
      <c r="AC6" s="59">
        <v>40900</v>
      </c>
      <c r="AD6" s="59">
        <v>17100</v>
      </c>
      <c r="AE6" s="60">
        <v>0</v>
      </c>
      <c r="AF6" s="59">
        <v>58000</v>
      </c>
      <c r="AG6" s="58" t="s">
        <v>61</v>
      </c>
      <c r="AH6" s="58">
        <v>78.3</v>
      </c>
      <c r="AI6" s="15">
        <v>1100</v>
      </c>
      <c r="AJ6" s="15">
        <v>1350</v>
      </c>
      <c r="AK6" s="14">
        <v>250</v>
      </c>
      <c r="AL6" s="16">
        <f t="shared" ref="AL6:AL37" si="0">(AJ6-AI6)/AI6</f>
        <v>0.22727272727272727</v>
      </c>
      <c r="AM6" s="15">
        <v>13200</v>
      </c>
      <c r="AN6" s="15">
        <v>20250</v>
      </c>
      <c r="AO6" s="15">
        <v>7050</v>
      </c>
      <c r="AP6" s="16">
        <f t="shared" ref="AP6:AP37" si="1">(AN6-AM6)/AM6</f>
        <v>0.53409090909090906</v>
      </c>
      <c r="AQ6" s="14">
        <v>980</v>
      </c>
      <c r="AR6" s="15">
        <v>1250</v>
      </c>
      <c r="AS6" s="14">
        <v>270</v>
      </c>
      <c r="AT6" s="16">
        <f t="shared" ref="AT6:AT37" si="2">(AR6-AQ6)/AQ6</f>
        <v>0.27551020408163263</v>
      </c>
      <c r="AU6" s="15">
        <v>11760</v>
      </c>
      <c r="AV6" s="15">
        <v>18750</v>
      </c>
      <c r="AW6" s="15">
        <v>6990</v>
      </c>
      <c r="AX6" s="16">
        <f t="shared" ref="AX6:AX37" si="3">(AV6-AU6)/AU6</f>
        <v>0.59438775510204078</v>
      </c>
      <c r="AY6" s="15">
        <v>54910</v>
      </c>
      <c r="AZ6" s="15">
        <v>38284</v>
      </c>
      <c r="BA6" s="15">
        <v>38284</v>
      </c>
      <c r="BB6" s="16">
        <f t="shared" ref="BB6:BB37" si="4">AZ6/AY6</f>
        <v>0.69721362229102168</v>
      </c>
      <c r="BC6" s="12"/>
    </row>
    <row r="7" spans="2:55" s="17" customFormat="1" ht="38.25" x14ac:dyDescent="0.25">
      <c r="B7" s="13">
        <v>2</v>
      </c>
      <c r="C7" s="13" t="s">
        <v>68</v>
      </c>
      <c r="D7" s="13" t="s">
        <v>83</v>
      </c>
      <c r="E7" s="13" t="s">
        <v>84</v>
      </c>
      <c r="F7" s="13" t="s">
        <v>85</v>
      </c>
      <c r="G7" s="13" t="s">
        <v>69</v>
      </c>
      <c r="H7" s="13" t="s">
        <v>86</v>
      </c>
      <c r="I7" s="13" t="s">
        <v>60</v>
      </c>
      <c r="J7" s="13" t="s">
        <v>75</v>
      </c>
      <c r="K7" s="13" t="s">
        <v>81</v>
      </c>
      <c r="L7" s="13" t="s">
        <v>87</v>
      </c>
      <c r="M7" s="13">
        <v>-13.55224895477</v>
      </c>
      <c r="N7" s="13">
        <v>-73.342323303219999</v>
      </c>
      <c r="O7" s="39">
        <v>3513</v>
      </c>
      <c r="P7" s="13">
        <v>1</v>
      </c>
      <c r="Q7" s="14">
        <v>42</v>
      </c>
      <c r="R7" s="14">
        <v>23</v>
      </c>
      <c r="S7" s="14">
        <v>19</v>
      </c>
      <c r="T7" s="14">
        <v>0</v>
      </c>
      <c r="U7" s="14">
        <v>3</v>
      </c>
      <c r="V7" s="14">
        <f>Tabla1[[#This Row],[Nº SOCIO JOVEN(M)]]+Tabla1[[#This Row],[Nº SOCIO JOVEN(F)]]</f>
        <v>3</v>
      </c>
      <c r="W7" s="14">
        <v>28</v>
      </c>
      <c r="X7" s="14">
        <v>22</v>
      </c>
      <c r="Y7" s="14">
        <v>6</v>
      </c>
      <c r="Z7" s="14">
        <v>0</v>
      </c>
      <c r="AA7" s="14">
        <v>2</v>
      </c>
      <c r="AB7" s="14">
        <f>Tabla1[[#This Row],[Nº FAMILIA JOVEN(M)]]+Tabla1[[#This Row],[Nº FAMILIA JOVEN(F)]]</f>
        <v>2</v>
      </c>
      <c r="AC7" s="52">
        <v>29070</v>
      </c>
      <c r="AD7" s="52">
        <v>12030</v>
      </c>
      <c r="AE7" s="45">
        <v>0</v>
      </c>
      <c r="AF7" s="52">
        <v>41119.5</v>
      </c>
      <c r="AG7" s="14" t="s">
        <v>88</v>
      </c>
      <c r="AH7" s="14">
        <v>84.6</v>
      </c>
      <c r="AI7" s="15">
        <v>11000</v>
      </c>
      <c r="AJ7" s="15">
        <v>15000</v>
      </c>
      <c r="AK7" s="15">
        <v>4000</v>
      </c>
      <c r="AL7" s="16">
        <f t="shared" si="0"/>
        <v>0.36363636363636365</v>
      </c>
      <c r="AM7" s="15">
        <v>18700</v>
      </c>
      <c r="AN7" s="15">
        <v>30000</v>
      </c>
      <c r="AO7" s="15">
        <v>11300</v>
      </c>
      <c r="AP7" s="16">
        <f t="shared" si="1"/>
        <v>0.60427807486631013</v>
      </c>
      <c r="AQ7" s="15">
        <v>9500</v>
      </c>
      <c r="AR7" s="15">
        <v>12000</v>
      </c>
      <c r="AS7" s="15">
        <v>2500</v>
      </c>
      <c r="AT7" s="16">
        <f t="shared" si="2"/>
        <v>0.26315789473684209</v>
      </c>
      <c r="AU7" s="15">
        <v>16150</v>
      </c>
      <c r="AV7" s="15">
        <v>24000</v>
      </c>
      <c r="AW7" s="15">
        <v>7850</v>
      </c>
      <c r="AX7" s="16">
        <f t="shared" si="3"/>
        <v>0.48606811145510836</v>
      </c>
      <c r="AY7" s="15">
        <v>41000</v>
      </c>
      <c r="AZ7" s="15">
        <v>24900</v>
      </c>
      <c r="BA7" s="15">
        <v>24900</v>
      </c>
      <c r="BB7" s="16">
        <f t="shared" si="4"/>
        <v>0.60731707317073169</v>
      </c>
      <c r="BC7" s="12"/>
    </row>
    <row r="8" spans="2:55" s="17" customFormat="1" ht="51" x14ac:dyDescent="0.25">
      <c r="B8" s="13">
        <v>3</v>
      </c>
      <c r="C8" s="13" t="s">
        <v>68</v>
      </c>
      <c r="D8" s="13" t="s">
        <v>89</v>
      </c>
      <c r="E8" s="13" t="s">
        <v>90</v>
      </c>
      <c r="F8" s="13" t="s">
        <v>91</v>
      </c>
      <c r="G8" s="13" t="s">
        <v>71</v>
      </c>
      <c r="H8" s="13" t="s">
        <v>92</v>
      </c>
      <c r="I8" s="13" t="s">
        <v>60</v>
      </c>
      <c r="J8" s="13" t="s">
        <v>75</v>
      </c>
      <c r="K8" s="13" t="s">
        <v>81</v>
      </c>
      <c r="L8" s="13" t="s">
        <v>81</v>
      </c>
      <c r="M8" s="13">
        <v>-13.528211593629999</v>
      </c>
      <c r="N8" s="13">
        <v>-73.365753173830001</v>
      </c>
      <c r="O8" s="39">
        <v>2977</v>
      </c>
      <c r="P8" s="13">
        <v>1</v>
      </c>
      <c r="Q8" s="14">
        <v>31</v>
      </c>
      <c r="R8" s="14">
        <v>16</v>
      </c>
      <c r="S8" s="14">
        <v>15</v>
      </c>
      <c r="T8" s="14">
        <v>3</v>
      </c>
      <c r="U8" s="14">
        <v>4</v>
      </c>
      <c r="V8" s="14">
        <f>Tabla1[[#This Row],[Nº SOCIO JOVEN(M)]]+Tabla1[[#This Row],[Nº SOCIO JOVEN(F)]]</f>
        <v>7</v>
      </c>
      <c r="W8" s="14">
        <v>20</v>
      </c>
      <c r="X8" s="14">
        <v>11</v>
      </c>
      <c r="Y8" s="14">
        <v>9</v>
      </c>
      <c r="Z8" s="14">
        <v>3</v>
      </c>
      <c r="AA8" s="14">
        <v>4</v>
      </c>
      <c r="AB8" s="14">
        <f>Tabla1[[#This Row],[Nº FAMILIA JOVEN(M)]]+Tabla1[[#This Row],[Nº FAMILIA JOVEN(F)]]</f>
        <v>7</v>
      </c>
      <c r="AC8" s="52">
        <v>26410</v>
      </c>
      <c r="AD8" s="52">
        <v>10890</v>
      </c>
      <c r="AE8" s="45">
        <v>0</v>
      </c>
      <c r="AF8" s="52">
        <v>37300.85</v>
      </c>
      <c r="AG8" s="14" t="s">
        <v>61</v>
      </c>
      <c r="AH8" s="14">
        <v>74.3</v>
      </c>
      <c r="AI8" s="15">
        <v>1120</v>
      </c>
      <c r="AJ8" s="15">
        <v>1600</v>
      </c>
      <c r="AK8" s="14">
        <v>480</v>
      </c>
      <c r="AL8" s="16">
        <f t="shared" si="0"/>
        <v>0.42857142857142855</v>
      </c>
      <c r="AM8" s="15">
        <v>7000</v>
      </c>
      <c r="AN8" s="15">
        <v>12000</v>
      </c>
      <c r="AO8" s="15">
        <v>5000</v>
      </c>
      <c r="AP8" s="16">
        <f t="shared" si="1"/>
        <v>0.7142857142857143</v>
      </c>
      <c r="AQ8" s="14">
        <v>928</v>
      </c>
      <c r="AR8" s="15">
        <v>1120</v>
      </c>
      <c r="AS8" s="14">
        <v>192</v>
      </c>
      <c r="AT8" s="16">
        <f t="shared" si="2"/>
        <v>0.20689655172413793</v>
      </c>
      <c r="AU8" s="15">
        <v>5800</v>
      </c>
      <c r="AV8" s="15">
        <v>8400</v>
      </c>
      <c r="AW8" s="15">
        <v>2600</v>
      </c>
      <c r="AX8" s="16">
        <f t="shared" si="3"/>
        <v>0.44827586206896552</v>
      </c>
      <c r="AY8" s="15">
        <v>63600</v>
      </c>
      <c r="AZ8" s="15">
        <v>21200</v>
      </c>
      <c r="BA8" s="15">
        <v>21200</v>
      </c>
      <c r="BB8" s="16">
        <f t="shared" si="4"/>
        <v>0.33333333333333331</v>
      </c>
      <c r="BC8" s="12"/>
    </row>
    <row r="9" spans="2:55" s="17" customFormat="1" ht="38.25" hidden="1" x14ac:dyDescent="0.25">
      <c r="B9" s="13">
        <v>4</v>
      </c>
      <c r="C9" s="13" t="s">
        <v>57</v>
      </c>
      <c r="D9" s="13" t="s">
        <v>93</v>
      </c>
      <c r="E9" s="13" t="s">
        <v>94</v>
      </c>
      <c r="F9" s="13" t="s">
        <v>95</v>
      </c>
      <c r="G9" s="13" t="s">
        <v>64</v>
      </c>
      <c r="H9" s="13" t="s">
        <v>96</v>
      </c>
      <c r="I9" s="13" t="s">
        <v>60</v>
      </c>
      <c r="J9" s="13" t="s">
        <v>75</v>
      </c>
      <c r="K9" s="13" t="s">
        <v>81</v>
      </c>
      <c r="L9" s="13" t="s">
        <v>97</v>
      </c>
      <c r="M9" s="13">
        <v>-13.535510063169999</v>
      </c>
      <c r="N9" s="13">
        <v>-73.363357543950002</v>
      </c>
      <c r="O9" s="39">
        <v>3071</v>
      </c>
      <c r="P9" s="13">
        <v>1</v>
      </c>
      <c r="Q9" s="14">
        <v>40</v>
      </c>
      <c r="R9" s="14">
        <v>25</v>
      </c>
      <c r="S9" s="14">
        <v>15</v>
      </c>
      <c r="T9" s="14">
        <v>6</v>
      </c>
      <c r="U9" s="14">
        <v>3</v>
      </c>
      <c r="V9" s="14">
        <f>Tabla1[[#This Row],[Nº SOCIO JOVEN(M)]]+Tabla1[[#This Row],[Nº SOCIO JOVEN(F)]]</f>
        <v>9</v>
      </c>
      <c r="W9" s="14">
        <v>40</v>
      </c>
      <c r="X9" s="14">
        <v>25</v>
      </c>
      <c r="Y9" s="14">
        <v>15</v>
      </c>
      <c r="Z9" s="14">
        <v>6</v>
      </c>
      <c r="AA9" s="14">
        <v>3</v>
      </c>
      <c r="AB9" s="14">
        <f>Tabla1[[#This Row],[Nº FAMILIA JOVEN(M)]]+Tabla1[[#This Row],[Nº FAMILIA JOVEN(F)]]</f>
        <v>9</v>
      </c>
      <c r="AC9" s="52">
        <v>37200</v>
      </c>
      <c r="AD9" s="45">
        <v>0</v>
      </c>
      <c r="AE9" s="52">
        <v>8800</v>
      </c>
      <c r="AF9" s="52">
        <v>46005.95</v>
      </c>
      <c r="AG9" s="14" t="s">
        <v>61</v>
      </c>
      <c r="AH9" s="14">
        <v>75.2</v>
      </c>
      <c r="AI9" s="14">
        <v>0</v>
      </c>
      <c r="AJ9" s="14">
        <v>0</v>
      </c>
      <c r="AK9" s="14">
        <v>0</v>
      </c>
      <c r="AL9" s="16" t="e">
        <f t="shared" si="0"/>
        <v>#DIV/0!</v>
      </c>
      <c r="AM9" s="14">
        <v>0</v>
      </c>
      <c r="AN9" s="14">
        <v>0</v>
      </c>
      <c r="AO9" s="14">
        <v>0</v>
      </c>
      <c r="AP9" s="16" t="e">
        <f t="shared" si="1"/>
        <v>#DIV/0!</v>
      </c>
      <c r="AQ9" s="14">
        <v>0</v>
      </c>
      <c r="AR9" s="14">
        <v>0</v>
      </c>
      <c r="AS9" s="14">
        <v>0</v>
      </c>
      <c r="AT9" s="16" t="e">
        <f t="shared" si="2"/>
        <v>#DIV/0!</v>
      </c>
      <c r="AU9" s="14">
        <v>0</v>
      </c>
      <c r="AV9" s="14">
        <v>0</v>
      </c>
      <c r="AW9" s="14">
        <v>0</v>
      </c>
      <c r="AX9" s="16" t="e">
        <f t="shared" si="3"/>
        <v>#DIV/0!</v>
      </c>
      <c r="AY9" s="15">
        <v>50320</v>
      </c>
      <c r="AZ9" s="15">
        <v>33440</v>
      </c>
      <c r="BA9" s="15">
        <v>33440</v>
      </c>
      <c r="BB9" s="16">
        <f t="shared" si="4"/>
        <v>0.66454689984101745</v>
      </c>
      <c r="BC9" s="12"/>
    </row>
    <row r="10" spans="2:55" s="17" customFormat="1" ht="51" hidden="1" x14ac:dyDescent="0.25">
      <c r="B10" s="13">
        <v>5</v>
      </c>
      <c r="C10" s="13" t="s">
        <v>57</v>
      </c>
      <c r="D10" s="13" t="s">
        <v>107</v>
      </c>
      <c r="E10" s="13" t="s">
        <v>108</v>
      </c>
      <c r="F10" s="13" t="s">
        <v>109</v>
      </c>
      <c r="G10" s="13" t="s">
        <v>102</v>
      </c>
      <c r="H10" s="13" t="s">
        <v>110</v>
      </c>
      <c r="I10" s="13" t="s">
        <v>60</v>
      </c>
      <c r="J10" s="13" t="s">
        <v>75</v>
      </c>
      <c r="K10" s="13" t="s">
        <v>81</v>
      </c>
      <c r="L10" s="13" t="s">
        <v>111</v>
      </c>
      <c r="M10" s="13">
        <v>-13.477033615110001</v>
      </c>
      <c r="N10" s="13">
        <v>-73.372261047359999</v>
      </c>
      <c r="O10" s="39">
        <v>3159</v>
      </c>
      <c r="P10" s="13">
        <v>1</v>
      </c>
      <c r="Q10" s="14">
        <v>61</v>
      </c>
      <c r="R10" s="14">
        <v>31</v>
      </c>
      <c r="S10" s="14">
        <v>30</v>
      </c>
      <c r="T10" s="14">
        <v>7</v>
      </c>
      <c r="U10" s="14">
        <v>7</v>
      </c>
      <c r="V10" s="14">
        <f>Tabla1[[#This Row],[Nº SOCIO JOVEN(M)]]+Tabla1[[#This Row],[Nº SOCIO JOVEN(F)]]</f>
        <v>14</v>
      </c>
      <c r="W10" s="14">
        <v>35</v>
      </c>
      <c r="X10" s="14">
        <v>25</v>
      </c>
      <c r="Y10" s="14">
        <v>10</v>
      </c>
      <c r="Z10" s="14">
        <v>7</v>
      </c>
      <c r="AA10" s="14">
        <v>1</v>
      </c>
      <c r="AB10" s="14">
        <f>Tabla1[[#This Row],[Nº FAMILIA JOVEN(M)]]+Tabla1[[#This Row],[Nº FAMILIA JOVEN(F)]]</f>
        <v>8</v>
      </c>
      <c r="AC10" s="52">
        <v>37200</v>
      </c>
      <c r="AD10" s="45">
        <v>0</v>
      </c>
      <c r="AE10" s="52">
        <v>8800</v>
      </c>
      <c r="AF10" s="52">
        <v>46000</v>
      </c>
      <c r="AG10" s="14" t="s">
        <v>61</v>
      </c>
      <c r="AH10" s="14">
        <v>73.3</v>
      </c>
      <c r="AI10" s="14">
        <v>0</v>
      </c>
      <c r="AJ10" s="14">
        <v>0</v>
      </c>
      <c r="AK10" s="14">
        <v>0</v>
      </c>
      <c r="AL10" s="16" t="e">
        <f t="shared" si="0"/>
        <v>#DIV/0!</v>
      </c>
      <c r="AM10" s="14">
        <v>0</v>
      </c>
      <c r="AN10" s="14">
        <v>0</v>
      </c>
      <c r="AO10" s="14">
        <v>0</v>
      </c>
      <c r="AP10" s="16" t="e">
        <f t="shared" si="1"/>
        <v>#DIV/0!</v>
      </c>
      <c r="AQ10" s="14">
        <v>0</v>
      </c>
      <c r="AR10" s="14">
        <v>0</v>
      </c>
      <c r="AS10" s="14">
        <v>0</v>
      </c>
      <c r="AT10" s="16" t="e">
        <f t="shared" si="2"/>
        <v>#DIV/0!</v>
      </c>
      <c r="AU10" s="14">
        <v>0</v>
      </c>
      <c r="AV10" s="14">
        <v>0</v>
      </c>
      <c r="AW10" s="14">
        <v>0</v>
      </c>
      <c r="AX10" s="16" t="e">
        <f t="shared" si="3"/>
        <v>#DIV/0!</v>
      </c>
      <c r="AY10" s="15">
        <v>57304</v>
      </c>
      <c r="AZ10" s="15">
        <v>24308</v>
      </c>
      <c r="BA10" s="15">
        <v>24308</v>
      </c>
      <c r="BB10" s="16">
        <f t="shared" si="4"/>
        <v>0.42419377355856486</v>
      </c>
      <c r="BC10" s="12"/>
    </row>
    <row r="11" spans="2:55" s="17" customFormat="1" ht="38.25" hidden="1" x14ac:dyDescent="0.25">
      <c r="B11" s="13">
        <v>6</v>
      </c>
      <c r="C11" s="13" t="s">
        <v>57</v>
      </c>
      <c r="D11" s="13" t="s">
        <v>112</v>
      </c>
      <c r="E11" s="13" t="s">
        <v>113</v>
      </c>
      <c r="F11" s="13" t="s">
        <v>114</v>
      </c>
      <c r="G11" s="13" t="s">
        <v>64</v>
      </c>
      <c r="H11" s="13" t="s">
        <v>65</v>
      </c>
      <c r="I11" s="13" t="s">
        <v>60</v>
      </c>
      <c r="J11" s="13" t="s">
        <v>100</v>
      </c>
      <c r="K11" s="13" t="s">
        <v>115</v>
      </c>
      <c r="L11" s="13" t="s">
        <v>116</v>
      </c>
      <c r="M11" s="13">
        <v>-13.560250282289999</v>
      </c>
      <c r="N11" s="13">
        <v>-73.48462677002</v>
      </c>
      <c r="O11" s="39">
        <v>3101</v>
      </c>
      <c r="P11" s="13">
        <v>2</v>
      </c>
      <c r="Q11" s="14">
        <v>67</v>
      </c>
      <c r="R11" s="14">
        <v>24</v>
      </c>
      <c r="S11" s="14">
        <v>43</v>
      </c>
      <c r="T11" s="14">
        <v>1</v>
      </c>
      <c r="U11" s="14">
        <v>8</v>
      </c>
      <c r="V11" s="14">
        <f>Tabla1[[#This Row],[Nº SOCIO JOVEN(M)]]+Tabla1[[#This Row],[Nº SOCIO JOVEN(F)]]</f>
        <v>9</v>
      </c>
      <c r="W11" s="14">
        <v>28</v>
      </c>
      <c r="X11" s="14">
        <v>24</v>
      </c>
      <c r="Y11" s="14">
        <v>4</v>
      </c>
      <c r="Z11" s="14">
        <v>1</v>
      </c>
      <c r="AA11" s="14">
        <v>1</v>
      </c>
      <c r="AB11" s="14">
        <f>Tabla1[[#This Row],[Nº FAMILIA JOVEN(M)]]+Tabla1[[#This Row],[Nº FAMILIA JOVEN(F)]]</f>
        <v>2</v>
      </c>
      <c r="AC11" s="52">
        <v>37680</v>
      </c>
      <c r="AD11" s="45">
        <v>0</v>
      </c>
      <c r="AE11" s="52">
        <v>8920</v>
      </c>
      <c r="AF11" s="52">
        <v>46624.31</v>
      </c>
      <c r="AG11" s="14" t="s">
        <v>63</v>
      </c>
      <c r="AH11" s="14">
        <v>69.900000000000006</v>
      </c>
      <c r="AI11" s="14">
        <v>0</v>
      </c>
      <c r="AJ11" s="14">
        <v>0</v>
      </c>
      <c r="AK11" s="14">
        <v>0</v>
      </c>
      <c r="AL11" s="16" t="e">
        <f t="shared" si="0"/>
        <v>#DIV/0!</v>
      </c>
      <c r="AM11" s="14">
        <v>0</v>
      </c>
      <c r="AN11" s="14">
        <v>0</v>
      </c>
      <c r="AO11" s="14">
        <v>0</v>
      </c>
      <c r="AP11" s="16" t="e">
        <f t="shared" si="1"/>
        <v>#DIV/0!</v>
      </c>
      <c r="AQ11" s="14">
        <v>0</v>
      </c>
      <c r="AR11" s="14">
        <v>0</v>
      </c>
      <c r="AS11" s="14">
        <v>0</v>
      </c>
      <c r="AT11" s="16" t="e">
        <f t="shared" si="2"/>
        <v>#DIV/0!</v>
      </c>
      <c r="AU11" s="14">
        <v>0</v>
      </c>
      <c r="AV11" s="14">
        <v>0</v>
      </c>
      <c r="AW11" s="14">
        <v>0</v>
      </c>
      <c r="AX11" s="16" t="e">
        <f t="shared" si="3"/>
        <v>#DIV/0!</v>
      </c>
      <c r="AY11" s="15">
        <v>92500</v>
      </c>
      <c r="AZ11" s="15">
        <v>31520</v>
      </c>
      <c r="BA11" s="15">
        <v>31520</v>
      </c>
      <c r="BB11" s="16">
        <f t="shared" si="4"/>
        <v>0.34075675675675676</v>
      </c>
      <c r="BC11" s="12"/>
    </row>
    <row r="12" spans="2:55" s="17" customFormat="1" ht="38.25" x14ac:dyDescent="0.25">
      <c r="B12" s="13">
        <v>7</v>
      </c>
      <c r="C12" s="13" t="s">
        <v>68</v>
      </c>
      <c r="D12" s="13" t="s">
        <v>117</v>
      </c>
      <c r="E12" s="13" t="s">
        <v>118</v>
      </c>
      <c r="F12" s="13" t="s">
        <v>119</v>
      </c>
      <c r="G12" s="13" t="s">
        <v>71</v>
      </c>
      <c r="H12" s="13" t="s">
        <v>92</v>
      </c>
      <c r="I12" s="13" t="s">
        <v>60</v>
      </c>
      <c r="J12" s="13" t="s">
        <v>75</v>
      </c>
      <c r="K12" s="13" t="s">
        <v>120</v>
      </c>
      <c r="L12" s="13" t="s">
        <v>120</v>
      </c>
      <c r="M12" s="13">
        <v>-13.53239345551</v>
      </c>
      <c r="N12" s="13">
        <v>-73.288635253910002</v>
      </c>
      <c r="O12" s="39">
        <v>3117</v>
      </c>
      <c r="P12" s="13">
        <v>2</v>
      </c>
      <c r="Q12" s="14">
        <v>35</v>
      </c>
      <c r="R12" s="14">
        <v>15</v>
      </c>
      <c r="S12" s="14">
        <v>20</v>
      </c>
      <c r="T12" s="14">
        <v>2</v>
      </c>
      <c r="U12" s="14">
        <v>4</v>
      </c>
      <c r="V12" s="14">
        <f>Tabla1[[#This Row],[Nº SOCIO JOVEN(M)]]+Tabla1[[#This Row],[Nº SOCIO JOVEN(F)]]</f>
        <v>6</v>
      </c>
      <c r="W12" s="14">
        <v>24</v>
      </c>
      <c r="X12" s="14">
        <v>15</v>
      </c>
      <c r="Y12" s="14">
        <v>9</v>
      </c>
      <c r="Z12" s="14">
        <v>2</v>
      </c>
      <c r="AA12" s="14">
        <v>2</v>
      </c>
      <c r="AB12" s="14">
        <f>Tabla1[[#This Row],[Nº FAMILIA JOVEN(M)]]+Tabla1[[#This Row],[Nº FAMILIA JOVEN(F)]]</f>
        <v>4</v>
      </c>
      <c r="AC12" s="52">
        <v>61400</v>
      </c>
      <c r="AD12" s="52">
        <v>24600</v>
      </c>
      <c r="AE12" s="45">
        <v>0</v>
      </c>
      <c r="AF12" s="52">
        <v>86000</v>
      </c>
      <c r="AG12" s="14" t="s">
        <v>61</v>
      </c>
      <c r="AH12" s="14">
        <v>79.900000000000006</v>
      </c>
      <c r="AI12" s="14">
        <v>825</v>
      </c>
      <c r="AJ12" s="15">
        <v>1110</v>
      </c>
      <c r="AK12" s="14">
        <v>285</v>
      </c>
      <c r="AL12" s="16">
        <f t="shared" si="0"/>
        <v>0.34545454545454546</v>
      </c>
      <c r="AM12" s="15">
        <v>6600</v>
      </c>
      <c r="AN12" s="15">
        <v>8877</v>
      </c>
      <c r="AO12" s="15">
        <v>2277</v>
      </c>
      <c r="AP12" s="16">
        <f t="shared" si="1"/>
        <v>0.34499999999999997</v>
      </c>
      <c r="AQ12" s="14">
        <v>800</v>
      </c>
      <c r="AR12" s="15">
        <v>1100</v>
      </c>
      <c r="AS12" s="14">
        <v>300</v>
      </c>
      <c r="AT12" s="16">
        <f t="shared" si="2"/>
        <v>0.375</v>
      </c>
      <c r="AU12" s="15">
        <v>6400</v>
      </c>
      <c r="AV12" s="15">
        <v>8800</v>
      </c>
      <c r="AW12" s="15">
        <v>2400</v>
      </c>
      <c r="AX12" s="16">
        <f t="shared" si="3"/>
        <v>0.375</v>
      </c>
      <c r="AY12" s="15">
        <v>88800</v>
      </c>
      <c r="AZ12" s="15">
        <v>59630</v>
      </c>
      <c r="BA12" s="15">
        <v>59630</v>
      </c>
      <c r="BB12" s="16">
        <f t="shared" si="4"/>
        <v>0.67150900900900901</v>
      </c>
      <c r="BC12" s="12"/>
    </row>
    <row r="13" spans="2:55" s="17" customFormat="1" ht="25.5" x14ac:dyDescent="0.25">
      <c r="B13" s="13">
        <v>8</v>
      </c>
      <c r="C13" s="13" t="s">
        <v>68</v>
      </c>
      <c r="D13" s="13" t="s">
        <v>123</v>
      </c>
      <c r="E13" s="13" t="s">
        <v>124</v>
      </c>
      <c r="F13" s="13" t="s">
        <v>125</v>
      </c>
      <c r="G13" s="13" t="s">
        <v>71</v>
      </c>
      <c r="H13" s="13" t="s">
        <v>72</v>
      </c>
      <c r="I13" s="13" t="s">
        <v>60</v>
      </c>
      <c r="J13" s="13" t="s">
        <v>100</v>
      </c>
      <c r="K13" s="13" t="s">
        <v>115</v>
      </c>
      <c r="L13" s="13" t="s">
        <v>126</v>
      </c>
      <c r="M13" s="13">
        <v>-13.479425430299999</v>
      </c>
      <c r="N13" s="13">
        <v>-73.549438476559999</v>
      </c>
      <c r="O13" s="39">
        <v>2968</v>
      </c>
      <c r="P13" s="13">
        <v>2</v>
      </c>
      <c r="Q13" s="14">
        <v>42</v>
      </c>
      <c r="R13" s="14">
        <v>13</v>
      </c>
      <c r="S13" s="14">
        <v>29</v>
      </c>
      <c r="T13" s="14">
        <v>3</v>
      </c>
      <c r="U13" s="14">
        <v>5</v>
      </c>
      <c r="V13" s="14">
        <f>Tabla1[[#This Row],[Nº SOCIO JOVEN(M)]]+Tabla1[[#This Row],[Nº SOCIO JOVEN(F)]]</f>
        <v>8</v>
      </c>
      <c r="W13" s="14">
        <v>30</v>
      </c>
      <c r="X13" s="14">
        <v>4</v>
      </c>
      <c r="Y13" s="14">
        <v>26</v>
      </c>
      <c r="Z13" s="14">
        <v>1</v>
      </c>
      <c r="AA13" s="14">
        <v>5</v>
      </c>
      <c r="AB13" s="14">
        <f>Tabla1[[#This Row],[Nº FAMILIA JOVEN(M)]]+Tabla1[[#This Row],[Nº FAMILIA JOVEN(F)]]</f>
        <v>6</v>
      </c>
      <c r="AC13" s="52">
        <v>41754</v>
      </c>
      <c r="AD13" s="52">
        <v>18996</v>
      </c>
      <c r="AE13" s="45">
        <v>0</v>
      </c>
      <c r="AF13" s="52">
        <v>60767.43</v>
      </c>
      <c r="AG13" s="14" t="s">
        <v>61</v>
      </c>
      <c r="AH13" s="14">
        <v>70</v>
      </c>
      <c r="AI13" s="15">
        <v>1080</v>
      </c>
      <c r="AJ13" s="15">
        <v>1620</v>
      </c>
      <c r="AK13" s="14">
        <v>540</v>
      </c>
      <c r="AL13" s="16">
        <f t="shared" si="0"/>
        <v>0.5</v>
      </c>
      <c r="AM13" s="15">
        <v>16800</v>
      </c>
      <c r="AN13" s="15">
        <v>25200</v>
      </c>
      <c r="AO13" s="15">
        <v>8400</v>
      </c>
      <c r="AP13" s="16">
        <f t="shared" si="1"/>
        <v>0.5</v>
      </c>
      <c r="AQ13" s="14">
        <v>810</v>
      </c>
      <c r="AR13" s="15">
        <v>1296</v>
      </c>
      <c r="AS13" s="14">
        <v>486</v>
      </c>
      <c r="AT13" s="16">
        <f t="shared" si="2"/>
        <v>0.6</v>
      </c>
      <c r="AU13" s="15">
        <v>12600</v>
      </c>
      <c r="AV13" s="15">
        <v>20160</v>
      </c>
      <c r="AW13" s="15">
        <v>7560</v>
      </c>
      <c r="AX13" s="16">
        <f t="shared" si="3"/>
        <v>0.6</v>
      </c>
      <c r="AY13" s="15">
        <v>52500</v>
      </c>
      <c r="AZ13" s="15">
        <v>34350</v>
      </c>
      <c r="BA13" s="15">
        <v>34350</v>
      </c>
      <c r="BB13" s="16">
        <f t="shared" si="4"/>
        <v>0.65428571428571425</v>
      </c>
      <c r="BC13" s="12"/>
    </row>
    <row r="14" spans="2:55" s="17" customFormat="1" ht="38.25" x14ac:dyDescent="0.25">
      <c r="B14" s="13">
        <v>9</v>
      </c>
      <c r="C14" s="13" t="s">
        <v>68</v>
      </c>
      <c r="D14" s="13" t="s">
        <v>127</v>
      </c>
      <c r="E14" s="13" t="s">
        <v>128</v>
      </c>
      <c r="F14" s="13" t="s">
        <v>129</v>
      </c>
      <c r="G14" s="13" t="s">
        <v>71</v>
      </c>
      <c r="H14" s="13" t="s">
        <v>77</v>
      </c>
      <c r="I14" s="13" t="s">
        <v>60</v>
      </c>
      <c r="J14" s="13" t="s">
        <v>75</v>
      </c>
      <c r="K14" s="13" t="s">
        <v>81</v>
      </c>
      <c r="L14" s="13" t="s">
        <v>130</v>
      </c>
      <c r="M14" s="13">
        <v>-13.52082061768</v>
      </c>
      <c r="N14" s="13">
        <v>-73.363395690920001</v>
      </c>
      <c r="O14" s="39">
        <v>2909</v>
      </c>
      <c r="P14" s="13">
        <v>1</v>
      </c>
      <c r="Q14" s="14">
        <v>21</v>
      </c>
      <c r="R14" s="14">
        <v>10</v>
      </c>
      <c r="S14" s="14">
        <v>11</v>
      </c>
      <c r="T14" s="14">
        <v>1</v>
      </c>
      <c r="U14" s="14">
        <v>2</v>
      </c>
      <c r="V14" s="14">
        <f>Tabla1[[#This Row],[Nº SOCIO JOVEN(M)]]+Tabla1[[#This Row],[Nº SOCIO JOVEN(F)]]</f>
        <v>3</v>
      </c>
      <c r="W14" s="14">
        <v>12</v>
      </c>
      <c r="X14" s="14">
        <v>10</v>
      </c>
      <c r="Y14" s="14">
        <v>2</v>
      </c>
      <c r="Z14" s="14">
        <v>1</v>
      </c>
      <c r="AA14" s="14">
        <v>1</v>
      </c>
      <c r="AB14" s="14">
        <f>Tabla1[[#This Row],[Nº FAMILIA JOVEN(M)]]+Tabla1[[#This Row],[Nº FAMILIA JOVEN(F)]]</f>
        <v>2</v>
      </c>
      <c r="AC14" s="52">
        <v>20600</v>
      </c>
      <c r="AD14" s="52">
        <v>8400</v>
      </c>
      <c r="AE14" s="45">
        <v>0</v>
      </c>
      <c r="AF14" s="52">
        <v>29000</v>
      </c>
      <c r="AG14" s="14" t="s">
        <v>61</v>
      </c>
      <c r="AH14" s="14">
        <v>70.400000000000006</v>
      </c>
      <c r="AI14" s="14">
        <v>500</v>
      </c>
      <c r="AJ14" s="14">
        <v>700</v>
      </c>
      <c r="AK14" s="14">
        <v>200</v>
      </c>
      <c r="AL14" s="16">
        <f t="shared" si="0"/>
        <v>0.4</v>
      </c>
      <c r="AM14" s="15">
        <v>5500</v>
      </c>
      <c r="AN14" s="15">
        <v>8400</v>
      </c>
      <c r="AO14" s="15">
        <v>2900</v>
      </c>
      <c r="AP14" s="16">
        <f t="shared" si="1"/>
        <v>0.52727272727272723</v>
      </c>
      <c r="AQ14" s="14">
        <v>400</v>
      </c>
      <c r="AR14" s="14">
        <v>650</v>
      </c>
      <c r="AS14" s="14">
        <v>250</v>
      </c>
      <c r="AT14" s="16">
        <f t="shared" si="2"/>
        <v>0.625</v>
      </c>
      <c r="AU14" s="15">
        <v>4400</v>
      </c>
      <c r="AV14" s="15">
        <v>7800</v>
      </c>
      <c r="AW14" s="15">
        <v>3400</v>
      </c>
      <c r="AX14" s="16">
        <f t="shared" si="3"/>
        <v>0.77272727272727271</v>
      </c>
      <c r="AY14" s="15">
        <v>53800</v>
      </c>
      <c r="AZ14" s="15">
        <v>15160</v>
      </c>
      <c r="BA14" s="15">
        <v>15160</v>
      </c>
      <c r="BB14" s="16">
        <f t="shared" si="4"/>
        <v>0.28178438661710037</v>
      </c>
      <c r="BC14" s="12"/>
    </row>
    <row r="15" spans="2:55" s="17" customFormat="1" ht="63.75" hidden="1" x14ac:dyDescent="0.25">
      <c r="B15" s="13">
        <v>10</v>
      </c>
      <c r="C15" s="13" t="s">
        <v>57</v>
      </c>
      <c r="D15" s="13" t="s">
        <v>131</v>
      </c>
      <c r="E15" s="13" t="s">
        <v>132</v>
      </c>
      <c r="F15" s="13" t="s">
        <v>133</v>
      </c>
      <c r="G15" s="13" t="s">
        <v>62</v>
      </c>
      <c r="H15" s="13" t="s">
        <v>134</v>
      </c>
      <c r="I15" s="13" t="s">
        <v>60</v>
      </c>
      <c r="J15" s="13" t="s">
        <v>75</v>
      </c>
      <c r="K15" s="13" t="s">
        <v>81</v>
      </c>
      <c r="L15" s="13" t="s">
        <v>135</v>
      </c>
      <c r="M15" s="13">
        <v>-13.54908370972</v>
      </c>
      <c r="N15" s="13">
        <v>-73.363632202150001</v>
      </c>
      <c r="O15" s="39">
        <v>3331</v>
      </c>
      <c r="P15" s="13">
        <v>1</v>
      </c>
      <c r="Q15" s="14">
        <v>67</v>
      </c>
      <c r="R15" s="14">
        <v>32</v>
      </c>
      <c r="S15" s="14">
        <v>35</v>
      </c>
      <c r="T15" s="14">
        <v>6</v>
      </c>
      <c r="U15" s="14">
        <v>6</v>
      </c>
      <c r="V15" s="14">
        <f>Tabla1[[#This Row],[Nº SOCIO JOVEN(M)]]+Tabla1[[#This Row],[Nº SOCIO JOVEN(F)]]</f>
        <v>12</v>
      </c>
      <c r="W15" s="14">
        <v>28</v>
      </c>
      <c r="X15" s="14">
        <v>22</v>
      </c>
      <c r="Y15" s="14">
        <v>6</v>
      </c>
      <c r="Z15" s="14">
        <v>4</v>
      </c>
      <c r="AA15" s="14">
        <v>1</v>
      </c>
      <c r="AB15" s="14">
        <f>Tabla1[[#This Row],[Nº FAMILIA JOVEN(M)]]+Tabla1[[#This Row],[Nº FAMILIA JOVEN(F)]]</f>
        <v>5</v>
      </c>
      <c r="AC15" s="52">
        <v>37680</v>
      </c>
      <c r="AD15" s="45">
        <v>2.2000000000000002</v>
      </c>
      <c r="AE15" s="52">
        <v>8920</v>
      </c>
      <c r="AF15" s="52">
        <v>46602.2</v>
      </c>
      <c r="AG15" s="14" t="s">
        <v>61</v>
      </c>
      <c r="AH15" s="14">
        <v>72.8</v>
      </c>
      <c r="AI15" s="14">
        <v>0</v>
      </c>
      <c r="AJ15" s="14">
        <v>0</v>
      </c>
      <c r="AK15" s="14">
        <v>0</v>
      </c>
      <c r="AL15" s="16" t="e">
        <f t="shared" si="0"/>
        <v>#DIV/0!</v>
      </c>
      <c r="AM15" s="14">
        <v>0</v>
      </c>
      <c r="AN15" s="14">
        <v>0</v>
      </c>
      <c r="AO15" s="14">
        <v>0</v>
      </c>
      <c r="AP15" s="16" t="e">
        <f t="shared" si="1"/>
        <v>#DIV/0!</v>
      </c>
      <c r="AQ15" s="14">
        <v>0</v>
      </c>
      <c r="AR15" s="14">
        <v>0</v>
      </c>
      <c r="AS15" s="14">
        <v>0</v>
      </c>
      <c r="AT15" s="16" t="e">
        <f t="shared" si="2"/>
        <v>#DIV/0!</v>
      </c>
      <c r="AU15" s="14">
        <v>0</v>
      </c>
      <c r="AV15" s="14">
        <v>0</v>
      </c>
      <c r="AW15" s="14">
        <v>0</v>
      </c>
      <c r="AX15" s="16" t="e">
        <f t="shared" si="3"/>
        <v>#DIV/0!</v>
      </c>
      <c r="AY15" s="15">
        <v>38800</v>
      </c>
      <c r="AZ15" s="15">
        <v>33896</v>
      </c>
      <c r="BA15" s="15">
        <v>33896</v>
      </c>
      <c r="BB15" s="16">
        <f t="shared" si="4"/>
        <v>0.8736082474226804</v>
      </c>
      <c r="BC15" s="12"/>
    </row>
    <row r="16" spans="2:55" s="17" customFormat="1" ht="25.5" x14ac:dyDescent="0.25">
      <c r="B16" s="13">
        <v>11</v>
      </c>
      <c r="C16" s="13" t="s">
        <v>68</v>
      </c>
      <c r="D16" s="13" t="s">
        <v>136</v>
      </c>
      <c r="E16" s="13" t="s">
        <v>137</v>
      </c>
      <c r="F16" s="13" t="s">
        <v>138</v>
      </c>
      <c r="G16" s="13" t="s">
        <v>76</v>
      </c>
      <c r="H16" s="13" t="s">
        <v>121</v>
      </c>
      <c r="I16" s="13" t="s">
        <v>60</v>
      </c>
      <c r="J16" s="13" t="s">
        <v>75</v>
      </c>
      <c r="K16" s="13" t="s">
        <v>120</v>
      </c>
      <c r="L16" s="13" t="s">
        <v>120</v>
      </c>
      <c r="M16" s="13">
        <v>-13.53239345551</v>
      </c>
      <c r="N16" s="13">
        <v>-73.288635253910002</v>
      </c>
      <c r="O16" s="39">
        <v>3117</v>
      </c>
      <c r="P16" s="13">
        <v>2</v>
      </c>
      <c r="Q16" s="14">
        <v>27</v>
      </c>
      <c r="R16" s="14">
        <v>10</v>
      </c>
      <c r="S16" s="14">
        <v>17</v>
      </c>
      <c r="T16" s="14">
        <v>1</v>
      </c>
      <c r="U16" s="14">
        <v>4</v>
      </c>
      <c r="V16" s="14">
        <f>Tabla1[[#This Row],[Nº SOCIO JOVEN(M)]]+Tabla1[[#This Row],[Nº SOCIO JOVEN(F)]]</f>
        <v>5</v>
      </c>
      <c r="W16" s="14">
        <v>16</v>
      </c>
      <c r="X16" s="14">
        <v>9</v>
      </c>
      <c r="Y16" s="14">
        <v>7</v>
      </c>
      <c r="Z16" s="14">
        <v>1</v>
      </c>
      <c r="AA16" s="14">
        <v>2</v>
      </c>
      <c r="AB16" s="14">
        <f>Tabla1[[#This Row],[Nº FAMILIA JOVEN(M)]]+Tabla1[[#This Row],[Nº FAMILIA JOVEN(F)]]</f>
        <v>3</v>
      </c>
      <c r="AC16" s="52">
        <v>51400</v>
      </c>
      <c r="AD16" s="52">
        <v>21600</v>
      </c>
      <c r="AE16" s="45">
        <v>0</v>
      </c>
      <c r="AF16" s="52">
        <v>73000</v>
      </c>
      <c r="AG16" s="14" t="s">
        <v>61</v>
      </c>
      <c r="AH16" s="14">
        <v>70</v>
      </c>
      <c r="AI16" s="15">
        <v>28800</v>
      </c>
      <c r="AJ16" s="15">
        <v>40000</v>
      </c>
      <c r="AK16" s="15">
        <v>11200</v>
      </c>
      <c r="AL16" s="16">
        <f t="shared" si="0"/>
        <v>0.3888888888888889</v>
      </c>
      <c r="AM16" s="15">
        <v>51840</v>
      </c>
      <c r="AN16" s="15">
        <v>72000</v>
      </c>
      <c r="AO16" s="15">
        <v>20160</v>
      </c>
      <c r="AP16" s="16">
        <f t="shared" si="1"/>
        <v>0.3888888888888889</v>
      </c>
      <c r="AQ16" s="15">
        <v>25000</v>
      </c>
      <c r="AR16" s="15">
        <v>35000</v>
      </c>
      <c r="AS16" s="15">
        <v>10000</v>
      </c>
      <c r="AT16" s="16">
        <f t="shared" si="2"/>
        <v>0.4</v>
      </c>
      <c r="AU16" s="15">
        <v>45000</v>
      </c>
      <c r="AV16" s="15">
        <v>63000</v>
      </c>
      <c r="AW16" s="15">
        <v>18000</v>
      </c>
      <c r="AX16" s="16">
        <f t="shared" si="3"/>
        <v>0.4</v>
      </c>
      <c r="AY16" s="15">
        <v>118000</v>
      </c>
      <c r="AZ16" s="15">
        <v>43245</v>
      </c>
      <c r="BA16" s="15">
        <v>43245</v>
      </c>
      <c r="BB16" s="16">
        <f t="shared" si="4"/>
        <v>0.36648305084745764</v>
      </c>
      <c r="BC16" s="12"/>
    </row>
    <row r="17" spans="2:55" s="17" customFormat="1" ht="38.25" x14ac:dyDescent="0.25">
      <c r="B17" s="13">
        <v>12</v>
      </c>
      <c r="C17" s="13" t="s">
        <v>68</v>
      </c>
      <c r="D17" s="13" t="s">
        <v>144</v>
      </c>
      <c r="E17" s="13" t="s">
        <v>145</v>
      </c>
      <c r="F17" s="13" t="s">
        <v>146</v>
      </c>
      <c r="G17" s="13" t="s">
        <v>71</v>
      </c>
      <c r="H17" s="13" t="s">
        <v>141</v>
      </c>
      <c r="I17" s="13" t="s">
        <v>60</v>
      </c>
      <c r="J17" s="13" t="s">
        <v>75</v>
      </c>
      <c r="K17" s="13" t="s">
        <v>120</v>
      </c>
      <c r="L17" s="13" t="s">
        <v>120</v>
      </c>
      <c r="M17" s="13">
        <v>-13.53239345551</v>
      </c>
      <c r="N17" s="13">
        <v>-73.288635253910002</v>
      </c>
      <c r="O17" s="39">
        <v>3117</v>
      </c>
      <c r="P17" s="13">
        <v>2</v>
      </c>
      <c r="Q17" s="14">
        <v>44</v>
      </c>
      <c r="R17" s="14">
        <v>21</v>
      </c>
      <c r="S17" s="14">
        <v>23</v>
      </c>
      <c r="T17" s="14">
        <v>1</v>
      </c>
      <c r="U17" s="14">
        <v>1</v>
      </c>
      <c r="V17" s="14">
        <f>Tabla1[[#This Row],[Nº SOCIO JOVEN(M)]]+Tabla1[[#This Row],[Nº SOCIO JOVEN(F)]]</f>
        <v>2</v>
      </c>
      <c r="W17" s="14">
        <v>29</v>
      </c>
      <c r="X17" s="14">
        <v>15</v>
      </c>
      <c r="Y17" s="14">
        <v>14</v>
      </c>
      <c r="Z17" s="14">
        <v>1</v>
      </c>
      <c r="AA17" s="14">
        <v>0</v>
      </c>
      <c r="AB17" s="14">
        <f>Tabla1[[#This Row],[Nº FAMILIA JOVEN(M)]]+Tabla1[[#This Row],[Nº FAMILIA JOVEN(F)]]</f>
        <v>1</v>
      </c>
      <c r="AC17" s="52">
        <v>69000</v>
      </c>
      <c r="AD17" s="52">
        <v>29003.33</v>
      </c>
      <c r="AE17" s="45">
        <v>0</v>
      </c>
      <c r="AF17" s="52">
        <v>98003.33</v>
      </c>
      <c r="AG17" s="14" t="s">
        <v>61</v>
      </c>
      <c r="AH17" s="14">
        <v>70.400000000000006</v>
      </c>
      <c r="AI17" s="15">
        <v>45000</v>
      </c>
      <c r="AJ17" s="15">
        <v>60000</v>
      </c>
      <c r="AK17" s="15">
        <v>15000</v>
      </c>
      <c r="AL17" s="16">
        <f t="shared" si="0"/>
        <v>0.33333333333333331</v>
      </c>
      <c r="AM17" s="15">
        <v>67500</v>
      </c>
      <c r="AN17" s="15">
        <v>108000</v>
      </c>
      <c r="AO17" s="15">
        <v>40500</v>
      </c>
      <c r="AP17" s="16">
        <f t="shared" si="1"/>
        <v>0.6</v>
      </c>
      <c r="AQ17" s="15">
        <v>44000</v>
      </c>
      <c r="AR17" s="15">
        <v>55000</v>
      </c>
      <c r="AS17" s="15">
        <v>11000</v>
      </c>
      <c r="AT17" s="16">
        <f t="shared" si="2"/>
        <v>0.25</v>
      </c>
      <c r="AU17" s="15">
        <v>66000</v>
      </c>
      <c r="AV17" s="15">
        <v>99000</v>
      </c>
      <c r="AW17" s="15">
        <v>33000</v>
      </c>
      <c r="AX17" s="16">
        <f t="shared" si="3"/>
        <v>0.5</v>
      </c>
      <c r="AY17" s="15">
        <v>173650</v>
      </c>
      <c r="AZ17" s="15">
        <v>59129</v>
      </c>
      <c r="BA17" s="15">
        <v>59129</v>
      </c>
      <c r="BB17" s="16">
        <f t="shared" si="4"/>
        <v>0.3405067664843075</v>
      </c>
      <c r="BC17" s="12"/>
    </row>
    <row r="18" spans="2:55" s="17" customFormat="1" ht="25.5" x14ac:dyDescent="0.25">
      <c r="B18" s="13">
        <v>13</v>
      </c>
      <c r="C18" s="13" t="s">
        <v>68</v>
      </c>
      <c r="D18" s="13" t="s">
        <v>147</v>
      </c>
      <c r="E18" s="13" t="s">
        <v>148</v>
      </c>
      <c r="F18" s="13" t="s">
        <v>149</v>
      </c>
      <c r="G18" s="13" t="s">
        <v>71</v>
      </c>
      <c r="H18" s="13" t="s">
        <v>72</v>
      </c>
      <c r="I18" s="13" t="s">
        <v>60</v>
      </c>
      <c r="J18" s="13" t="s">
        <v>75</v>
      </c>
      <c r="K18" s="13" t="s">
        <v>81</v>
      </c>
      <c r="L18" s="13" t="s">
        <v>87</v>
      </c>
      <c r="M18" s="13">
        <v>-13.55224895477</v>
      </c>
      <c r="N18" s="13">
        <v>-73.342323303219999</v>
      </c>
      <c r="O18" s="39">
        <v>3513</v>
      </c>
      <c r="P18" s="13">
        <v>1</v>
      </c>
      <c r="Q18" s="14">
        <v>23</v>
      </c>
      <c r="R18" s="14">
        <v>9</v>
      </c>
      <c r="S18" s="14">
        <v>14</v>
      </c>
      <c r="T18" s="14">
        <v>1</v>
      </c>
      <c r="U18" s="14">
        <v>7</v>
      </c>
      <c r="V18" s="14">
        <f>Tabla1[[#This Row],[Nº SOCIO JOVEN(M)]]+Tabla1[[#This Row],[Nº SOCIO JOVEN(F)]]</f>
        <v>8</v>
      </c>
      <c r="W18" s="14">
        <v>15</v>
      </c>
      <c r="X18" s="14">
        <v>9</v>
      </c>
      <c r="Y18" s="14">
        <v>6</v>
      </c>
      <c r="Z18" s="14">
        <v>1</v>
      </c>
      <c r="AA18" s="14">
        <v>5</v>
      </c>
      <c r="AB18" s="14">
        <f>Tabla1[[#This Row],[Nº FAMILIA JOVEN(M)]]+Tabla1[[#This Row],[Nº FAMILIA JOVEN(F)]]</f>
        <v>6</v>
      </c>
      <c r="AC18" s="52">
        <v>30400</v>
      </c>
      <c r="AD18" s="52">
        <v>12600</v>
      </c>
      <c r="AE18" s="45">
        <v>0</v>
      </c>
      <c r="AF18" s="52">
        <v>43037.97</v>
      </c>
      <c r="AG18" s="14" t="s">
        <v>61</v>
      </c>
      <c r="AH18" s="14">
        <v>77.599999999999994</v>
      </c>
      <c r="AI18" s="14">
        <v>790</v>
      </c>
      <c r="AJ18" s="15">
        <v>1260</v>
      </c>
      <c r="AK18" s="14">
        <v>470</v>
      </c>
      <c r="AL18" s="16">
        <f t="shared" si="0"/>
        <v>0.59493670886075944</v>
      </c>
      <c r="AM18" s="15">
        <v>11060</v>
      </c>
      <c r="AN18" s="15">
        <v>18900</v>
      </c>
      <c r="AO18" s="15">
        <v>7840</v>
      </c>
      <c r="AP18" s="16">
        <f t="shared" si="1"/>
        <v>0.70886075949367089</v>
      </c>
      <c r="AQ18" s="14">
        <v>575</v>
      </c>
      <c r="AR18" s="14">
        <v>625</v>
      </c>
      <c r="AS18" s="14">
        <v>50</v>
      </c>
      <c r="AT18" s="16">
        <f t="shared" si="2"/>
        <v>8.6956521739130432E-2</v>
      </c>
      <c r="AU18" s="15">
        <v>8050</v>
      </c>
      <c r="AV18" s="15">
        <v>9375</v>
      </c>
      <c r="AW18" s="15">
        <v>1325</v>
      </c>
      <c r="AX18" s="16">
        <f t="shared" si="3"/>
        <v>0.16459627329192547</v>
      </c>
      <c r="AY18" s="15">
        <v>51500</v>
      </c>
      <c r="AZ18" s="15">
        <v>28005</v>
      </c>
      <c r="BA18" s="15">
        <v>28005</v>
      </c>
      <c r="BB18" s="16">
        <f t="shared" si="4"/>
        <v>0.54378640776699028</v>
      </c>
      <c r="BC18" s="12"/>
    </row>
    <row r="19" spans="2:55" s="17" customFormat="1" ht="38.25" x14ac:dyDescent="0.25">
      <c r="B19" s="13">
        <v>14</v>
      </c>
      <c r="C19" s="13" t="s">
        <v>68</v>
      </c>
      <c r="D19" s="13" t="s">
        <v>150</v>
      </c>
      <c r="E19" s="13" t="s">
        <v>151</v>
      </c>
      <c r="F19" s="13" t="s">
        <v>152</v>
      </c>
      <c r="G19" s="13" t="s">
        <v>76</v>
      </c>
      <c r="H19" s="13" t="s">
        <v>99</v>
      </c>
      <c r="I19" s="13" t="s">
        <v>60</v>
      </c>
      <c r="J19" s="13" t="s">
        <v>100</v>
      </c>
      <c r="K19" s="13" t="s">
        <v>153</v>
      </c>
      <c r="L19" s="13" t="s">
        <v>153</v>
      </c>
      <c r="M19" s="13">
        <v>-13.388096809389999</v>
      </c>
      <c r="N19" s="13">
        <v>-73.69002532959</v>
      </c>
      <c r="O19" s="39">
        <v>3082</v>
      </c>
      <c r="P19" s="13">
        <v>1</v>
      </c>
      <c r="Q19" s="14">
        <v>38</v>
      </c>
      <c r="R19" s="14">
        <v>27</v>
      </c>
      <c r="S19" s="14">
        <v>11</v>
      </c>
      <c r="T19" s="14">
        <v>0</v>
      </c>
      <c r="U19" s="14">
        <v>0</v>
      </c>
      <c r="V19" s="14">
        <f>Tabla1[[#This Row],[Nº SOCIO JOVEN(M)]]+Tabla1[[#This Row],[Nº SOCIO JOVEN(F)]]</f>
        <v>0</v>
      </c>
      <c r="W19" s="14">
        <v>32</v>
      </c>
      <c r="X19" s="14">
        <v>27</v>
      </c>
      <c r="Y19" s="14">
        <v>5</v>
      </c>
      <c r="Z19" s="14">
        <v>0</v>
      </c>
      <c r="AA19" s="14">
        <v>0</v>
      </c>
      <c r="AB19" s="14">
        <f>Tabla1[[#This Row],[Nº FAMILIA JOVEN(M)]]+Tabla1[[#This Row],[Nº FAMILIA JOVEN(F)]]</f>
        <v>0</v>
      </c>
      <c r="AC19" s="52">
        <v>76100</v>
      </c>
      <c r="AD19" s="52">
        <v>31900</v>
      </c>
      <c r="AE19" s="45">
        <v>0</v>
      </c>
      <c r="AF19" s="52">
        <v>108134.3</v>
      </c>
      <c r="AG19" s="14" t="s">
        <v>61</v>
      </c>
      <c r="AH19" s="14">
        <v>74.8</v>
      </c>
      <c r="AI19" s="15">
        <v>12075</v>
      </c>
      <c r="AJ19" s="15">
        <v>14570</v>
      </c>
      <c r="AK19" s="15">
        <v>2495</v>
      </c>
      <c r="AL19" s="16">
        <f t="shared" si="0"/>
        <v>0.20662525879917185</v>
      </c>
      <c r="AM19" s="15">
        <v>36225</v>
      </c>
      <c r="AN19" s="15">
        <v>45167</v>
      </c>
      <c r="AO19" s="15">
        <v>8942</v>
      </c>
      <c r="AP19" s="16">
        <f t="shared" si="1"/>
        <v>0.24684610075914423</v>
      </c>
      <c r="AQ19" s="15">
        <v>12075</v>
      </c>
      <c r="AR19" s="15">
        <v>14570</v>
      </c>
      <c r="AS19" s="15">
        <v>2495</v>
      </c>
      <c r="AT19" s="16">
        <f t="shared" si="2"/>
        <v>0.20662525879917185</v>
      </c>
      <c r="AU19" s="15">
        <v>36225</v>
      </c>
      <c r="AV19" s="15">
        <v>45167</v>
      </c>
      <c r="AW19" s="15">
        <v>8942</v>
      </c>
      <c r="AX19" s="16">
        <f t="shared" si="3"/>
        <v>0.24684610075914423</v>
      </c>
      <c r="AY19" s="15">
        <v>125420</v>
      </c>
      <c r="AZ19" s="15">
        <v>72100</v>
      </c>
      <c r="BA19" s="15">
        <v>72100</v>
      </c>
      <c r="BB19" s="16">
        <f t="shared" si="4"/>
        <v>0.57486844203476317</v>
      </c>
      <c r="BC19" s="12"/>
    </row>
    <row r="20" spans="2:55" s="17" customFormat="1" ht="38.25" x14ac:dyDescent="0.25">
      <c r="B20" s="13">
        <v>15</v>
      </c>
      <c r="C20" s="13" t="s">
        <v>68</v>
      </c>
      <c r="D20" s="13" t="s">
        <v>154</v>
      </c>
      <c r="E20" s="13" t="s">
        <v>155</v>
      </c>
      <c r="F20" s="13" t="s">
        <v>156</v>
      </c>
      <c r="G20" s="13" t="s">
        <v>69</v>
      </c>
      <c r="H20" s="13" t="s">
        <v>143</v>
      </c>
      <c r="I20" s="13" t="s">
        <v>60</v>
      </c>
      <c r="J20" s="13" t="s">
        <v>75</v>
      </c>
      <c r="K20" s="13" t="s">
        <v>81</v>
      </c>
      <c r="L20" s="13" t="s">
        <v>111</v>
      </c>
      <c r="M20" s="13">
        <v>-13.477033615110001</v>
      </c>
      <c r="N20" s="13">
        <v>-73.372261047359999</v>
      </c>
      <c r="O20" s="39">
        <v>3159</v>
      </c>
      <c r="P20" s="13">
        <v>1</v>
      </c>
      <c r="Q20" s="14">
        <v>26</v>
      </c>
      <c r="R20" s="14">
        <v>13</v>
      </c>
      <c r="S20" s="14">
        <v>13</v>
      </c>
      <c r="T20" s="14">
        <v>1</v>
      </c>
      <c r="U20" s="14">
        <v>1</v>
      </c>
      <c r="V20" s="14">
        <f>Tabla1[[#This Row],[Nº SOCIO JOVEN(M)]]+Tabla1[[#This Row],[Nº SOCIO JOVEN(F)]]</f>
        <v>2</v>
      </c>
      <c r="W20" s="14">
        <v>12</v>
      </c>
      <c r="X20" s="14">
        <v>11</v>
      </c>
      <c r="Y20" s="14">
        <v>1</v>
      </c>
      <c r="Z20" s="14">
        <v>1</v>
      </c>
      <c r="AA20" s="14">
        <v>0</v>
      </c>
      <c r="AB20" s="14">
        <f>Tabla1[[#This Row],[Nº FAMILIA JOVEN(M)]]+Tabla1[[#This Row],[Nº FAMILIA JOVEN(F)]]</f>
        <v>1</v>
      </c>
      <c r="AC20" s="52">
        <v>37890</v>
      </c>
      <c r="AD20" s="52">
        <v>15877.5</v>
      </c>
      <c r="AE20" s="45">
        <v>0</v>
      </c>
      <c r="AF20" s="52">
        <v>53767.5</v>
      </c>
      <c r="AG20" s="14" t="s">
        <v>61</v>
      </c>
      <c r="AH20" s="14">
        <v>79.3</v>
      </c>
      <c r="AI20" s="15">
        <v>3500</v>
      </c>
      <c r="AJ20" s="15">
        <v>5500</v>
      </c>
      <c r="AK20" s="15">
        <v>2000</v>
      </c>
      <c r="AL20" s="16">
        <f t="shared" si="0"/>
        <v>0.5714285714285714</v>
      </c>
      <c r="AM20" s="15">
        <v>15750</v>
      </c>
      <c r="AN20" s="15">
        <v>27500</v>
      </c>
      <c r="AO20" s="15">
        <v>11750</v>
      </c>
      <c r="AP20" s="16">
        <f t="shared" si="1"/>
        <v>0.74603174603174605</v>
      </c>
      <c r="AQ20" s="15">
        <v>3000</v>
      </c>
      <c r="AR20" s="15">
        <v>4500</v>
      </c>
      <c r="AS20" s="15">
        <v>1500</v>
      </c>
      <c r="AT20" s="16">
        <f t="shared" si="2"/>
        <v>0.5</v>
      </c>
      <c r="AU20" s="15">
        <v>13500</v>
      </c>
      <c r="AV20" s="15">
        <v>22500</v>
      </c>
      <c r="AW20" s="15">
        <v>9000</v>
      </c>
      <c r="AX20" s="16">
        <f t="shared" si="3"/>
        <v>0.66666666666666663</v>
      </c>
      <c r="AY20" s="15">
        <v>53700</v>
      </c>
      <c r="AZ20" s="15">
        <v>35850</v>
      </c>
      <c r="BA20" s="15">
        <v>35850</v>
      </c>
      <c r="BB20" s="16">
        <f t="shared" si="4"/>
        <v>0.66759776536312854</v>
      </c>
      <c r="BC20" s="12"/>
    </row>
    <row r="21" spans="2:55" s="17" customFormat="1" ht="38.25" x14ac:dyDescent="0.25">
      <c r="B21" s="13">
        <v>16</v>
      </c>
      <c r="C21" s="13" t="s">
        <v>68</v>
      </c>
      <c r="D21" s="13" t="s">
        <v>157</v>
      </c>
      <c r="E21" s="13" t="s">
        <v>158</v>
      </c>
      <c r="F21" s="13" t="s">
        <v>159</v>
      </c>
      <c r="G21" s="13" t="s">
        <v>69</v>
      </c>
      <c r="H21" s="13" t="s">
        <v>143</v>
      </c>
      <c r="I21" s="13" t="s">
        <v>60</v>
      </c>
      <c r="J21" s="13" t="s">
        <v>75</v>
      </c>
      <c r="K21" s="13" t="s">
        <v>81</v>
      </c>
      <c r="L21" s="13" t="s">
        <v>81</v>
      </c>
      <c r="M21" s="13">
        <v>-13.528211593629999</v>
      </c>
      <c r="N21" s="13">
        <v>-73.365753173830001</v>
      </c>
      <c r="O21" s="39">
        <v>2977</v>
      </c>
      <c r="P21" s="13">
        <v>1</v>
      </c>
      <c r="Q21" s="14">
        <v>17</v>
      </c>
      <c r="R21" s="14">
        <v>12</v>
      </c>
      <c r="S21" s="14">
        <v>5</v>
      </c>
      <c r="T21" s="14">
        <v>0</v>
      </c>
      <c r="U21" s="14">
        <v>0</v>
      </c>
      <c r="V21" s="14">
        <f>Tabla1[[#This Row],[Nº SOCIO JOVEN(M)]]+Tabla1[[#This Row],[Nº SOCIO JOVEN(F)]]</f>
        <v>0</v>
      </c>
      <c r="W21" s="14">
        <v>15</v>
      </c>
      <c r="X21" s="14">
        <v>12</v>
      </c>
      <c r="Y21" s="14">
        <v>3</v>
      </c>
      <c r="Z21" s="14">
        <v>0</v>
      </c>
      <c r="AA21" s="14">
        <v>0</v>
      </c>
      <c r="AB21" s="14">
        <f>Tabla1[[#This Row],[Nº FAMILIA JOVEN(M)]]+Tabla1[[#This Row],[Nº FAMILIA JOVEN(F)]]</f>
        <v>0</v>
      </c>
      <c r="AC21" s="52">
        <v>36518</v>
      </c>
      <c r="AD21" s="52">
        <v>15222</v>
      </c>
      <c r="AE21" s="45">
        <v>0</v>
      </c>
      <c r="AF21" s="52">
        <v>51740</v>
      </c>
      <c r="AG21" s="14" t="s">
        <v>61</v>
      </c>
      <c r="AH21" s="14">
        <v>79.2</v>
      </c>
      <c r="AI21" s="15">
        <v>4000</v>
      </c>
      <c r="AJ21" s="15">
        <v>6000</v>
      </c>
      <c r="AK21" s="15">
        <v>2000</v>
      </c>
      <c r="AL21" s="16">
        <f t="shared" si="0"/>
        <v>0.5</v>
      </c>
      <c r="AM21" s="15">
        <v>16000</v>
      </c>
      <c r="AN21" s="15">
        <v>30000</v>
      </c>
      <c r="AO21" s="15">
        <v>14000</v>
      </c>
      <c r="AP21" s="16">
        <f t="shared" si="1"/>
        <v>0.875</v>
      </c>
      <c r="AQ21" s="15">
        <v>4000</v>
      </c>
      <c r="AR21" s="15">
        <v>5500</v>
      </c>
      <c r="AS21" s="15">
        <v>1500</v>
      </c>
      <c r="AT21" s="16">
        <f t="shared" si="2"/>
        <v>0.375</v>
      </c>
      <c r="AU21" s="15">
        <v>16000</v>
      </c>
      <c r="AV21" s="15">
        <v>27500</v>
      </c>
      <c r="AW21" s="15">
        <v>11500</v>
      </c>
      <c r="AX21" s="16">
        <f t="shared" si="3"/>
        <v>0.71875</v>
      </c>
      <c r="AY21" s="15">
        <v>47600</v>
      </c>
      <c r="AZ21" s="15">
        <v>29698</v>
      </c>
      <c r="BA21" s="15">
        <v>29698</v>
      </c>
      <c r="BB21" s="16">
        <f t="shared" si="4"/>
        <v>0.62390756302521011</v>
      </c>
      <c r="BC21" s="12"/>
    </row>
    <row r="22" spans="2:55" s="17" customFormat="1" ht="63.75" x14ac:dyDescent="0.25">
      <c r="B22" s="13">
        <v>17</v>
      </c>
      <c r="C22" s="13" t="s">
        <v>68</v>
      </c>
      <c r="D22" s="13" t="s">
        <v>160</v>
      </c>
      <c r="E22" s="13" t="s">
        <v>161</v>
      </c>
      <c r="F22" s="13" t="s">
        <v>162</v>
      </c>
      <c r="G22" s="13" t="s">
        <v>73</v>
      </c>
      <c r="H22" s="13" t="s">
        <v>74</v>
      </c>
      <c r="I22" s="13" t="s">
        <v>60</v>
      </c>
      <c r="J22" s="13" t="s">
        <v>75</v>
      </c>
      <c r="K22" s="13" t="s">
        <v>81</v>
      </c>
      <c r="L22" s="13" t="s">
        <v>81</v>
      </c>
      <c r="M22" s="13">
        <v>-13.528211593629999</v>
      </c>
      <c r="N22" s="13">
        <v>-73.365753173830001</v>
      </c>
      <c r="O22" s="39">
        <v>2977</v>
      </c>
      <c r="P22" s="13">
        <v>1</v>
      </c>
      <c r="Q22" s="14">
        <v>55</v>
      </c>
      <c r="R22" s="14">
        <v>31</v>
      </c>
      <c r="S22" s="14">
        <v>24</v>
      </c>
      <c r="T22" s="14">
        <v>1</v>
      </c>
      <c r="U22" s="14">
        <v>4</v>
      </c>
      <c r="V22" s="14">
        <f>Tabla1[[#This Row],[Nº SOCIO JOVEN(M)]]+Tabla1[[#This Row],[Nº SOCIO JOVEN(F)]]</f>
        <v>5</v>
      </c>
      <c r="W22" s="14">
        <v>34</v>
      </c>
      <c r="X22" s="14">
        <v>28</v>
      </c>
      <c r="Y22" s="14">
        <v>6</v>
      </c>
      <c r="Z22" s="14">
        <v>1</v>
      </c>
      <c r="AA22" s="14">
        <v>2</v>
      </c>
      <c r="AB22" s="14">
        <f>Tabla1[[#This Row],[Nº FAMILIA JOVEN(M)]]+Tabla1[[#This Row],[Nº FAMILIA JOVEN(F)]]</f>
        <v>3</v>
      </c>
      <c r="AC22" s="52">
        <v>70155</v>
      </c>
      <c r="AD22" s="52">
        <v>29495</v>
      </c>
      <c r="AE22" s="45">
        <v>0</v>
      </c>
      <c r="AF22" s="52">
        <v>99657.75</v>
      </c>
      <c r="AG22" s="14" t="s">
        <v>88</v>
      </c>
      <c r="AH22" s="14">
        <v>81.3</v>
      </c>
      <c r="AI22" s="15">
        <v>94000</v>
      </c>
      <c r="AJ22" s="15">
        <v>130880</v>
      </c>
      <c r="AK22" s="15">
        <v>36880</v>
      </c>
      <c r="AL22" s="16">
        <f t="shared" si="0"/>
        <v>0.39234042553191489</v>
      </c>
      <c r="AM22" s="15">
        <v>329000</v>
      </c>
      <c r="AN22" s="15">
        <v>536370</v>
      </c>
      <c r="AO22" s="15">
        <v>207370</v>
      </c>
      <c r="AP22" s="16">
        <f t="shared" si="1"/>
        <v>0.63030395136778117</v>
      </c>
      <c r="AQ22" s="15">
        <v>83083</v>
      </c>
      <c r="AR22" s="15">
        <v>116968</v>
      </c>
      <c r="AS22" s="15">
        <v>33885</v>
      </c>
      <c r="AT22" s="16">
        <f t="shared" si="2"/>
        <v>0.40784516688131145</v>
      </c>
      <c r="AU22" s="15">
        <v>290791</v>
      </c>
      <c r="AV22" s="15">
        <v>478273</v>
      </c>
      <c r="AW22" s="15">
        <v>187482</v>
      </c>
      <c r="AX22" s="16">
        <f t="shared" si="3"/>
        <v>0.64473109552909136</v>
      </c>
      <c r="AY22" s="15">
        <v>59700</v>
      </c>
      <c r="AZ22" s="15">
        <v>43600</v>
      </c>
      <c r="BA22" s="15">
        <v>43600</v>
      </c>
      <c r="BB22" s="16">
        <f t="shared" si="4"/>
        <v>0.73031825795644889</v>
      </c>
      <c r="BC22" s="12"/>
    </row>
    <row r="23" spans="2:55" s="17" customFormat="1" ht="38.25" x14ac:dyDescent="0.25">
      <c r="B23" s="13">
        <v>18</v>
      </c>
      <c r="C23" s="13" t="s">
        <v>68</v>
      </c>
      <c r="D23" s="13" t="s">
        <v>170</v>
      </c>
      <c r="E23" s="13" t="s">
        <v>171</v>
      </c>
      <c r="F23" s="13" t="s">
        <v>169</v>
      </c>
      <c r="G23" s="13" t="s">
        <v>71</v>
      </c>
      <c r="H23" s="13" t="s">
        <v>77</v>
      </c>
      <c r="I23" s="13" t="s">
        <v>60</v>
      </c>
      <c r="J23" s="13" t="s">
        <v>75</v>
      </c>
      <c r="K23" s="13" t="s">
        <v>81</v>
      </c>
      <c r="L23" s="13" t="s">
        <v>81</v>
      </c>
      <c r="M23" s="13">
        <v>-13.528211593629999</v>
      </c>
      <c r="N23" s="13">
        <v>-73.365753173830001</v>
      </c>
      <c r="O23" s="39">
        <v>2977</v>
      </c>
      <c r="P23" s="13">
        <v>1</v>
      </c>
      <c r="Q23" s="14">
        <v>27</v>
      </c>
      <c r="R23" s="14">
        <v>14</v>
      </c>
      <c r="S23" s="14">
        <v>13</v>
      </c>
      <c r="T23" s="14">
        <v>2</v>
      </c>
      <c r="U23" s="14">
        <v>3</v>
      </c>
      <c r="V23" s="14">
        <f>Tabla1[[#This Row],[Nº SOCIO JOVEN(M)]]+Tabla1[[#This Row],[Nº SOCIO JOVEN(F)]]</f>
        <v>5</v>
      </c>
      <c r="W23" s="14">
        <v>18</v>
      </c>
      <c r="X23" s="14">
        <v>14</v>
      </c>
      <c r="Y23" s="14">
        <v>4</v>
      </c>
      <c r="Z23" s="14">
        <v>2</v>
      </c>
      <c r="AA23" s="14">
        <v>0</v>
      </c>
      <c r="AB23" s="14">
        <f>Tabla1[[#This Row],[Nº FAMILIA JOVEN(M)]]+Tabla1[[#This Row],[Nº FAMILIA JOVEN(F)]]</f>
        <v>2</v>
      </c>
      <c r="AC23" s="52">
        <v>36700</v>
      </c>
      <c r="AD23" s="52">
        <v>15300</v>
      </c>
      <c r="AE23" s="45">
        <v>0</v>
      </c>
      <c r="AF23" s="52">
        <v>52042.15</v>
      </c>
      <c r="AG23" s="14" t="s">
        <v>61</v>
      </c>
      <c r="AH23" s="14">
        <v>79.599999999999994</v>
      </c>
      <c r="AI23" s="14">
        <v>154</v>
      </c>
      <c r="AJ23" s="14">
        <v>214</v>
      </c>
      <c r="AK23" s="14">
        <v>60</v>
      </c>
      <c r="AL23" s="16">
        <f t="shared" si="0"/>
        <v>0.38961038961038963</v>
      </c>
      <c r="AM23" s="15">
        <v>43120</v>
      </c>
      <c r="AN23" s="15">
        <v>64200</v>
      </c>
      <c r="AO23" s="15">
        <v>21080</v>
      </c>
      <c r="AP23" s="16">
        <f t="shared" si="1"/>
        <v>0.48886827458256027</v>
      </c>
      <c r="AQ23" s="14">
        <v>50</v>
      </c>
      <c r="AR23" s="14">
        <v>75</v>
      </c>
      <c r="AS23" s="14">
        <v>25</v>
      </c>
      <c r="AT23" s="16">
        <f t="shared" si="2"/>
        <v>0.5</v>
      </c>
      <c r="AU23" s="15">
        <v>14000</v>
      </c>
      <c r="AV23" s="15">
        <v>22500</v>
      </c>
      <c r="AW23" s="15">
        <v>8500</v>
      </c>
      <c r="AX23" s="16">
        <f t="shared" si="3"/>
        <v>0.6071428571428571</v>
      </c>
      <c r="AY23" s="15">
        <v>57600</v>
      </c>
      <c r="AZ23" s="15">
        <v>34831</v>
      </c>
      <c r="BA23" s="15">
        <v>34831</v>
      </c>
      <c r="BB23" s="16">
        <f t="shared" si="4"/>
        <v>0.6047048611111111</v>
      </c>
      <c r="BC23" s="12"/>
    </row>
    <row r="24" spans="2:55" s="17" customFormat="1" ht="38.25" x14ac:dyDescent="0.25">
      <c r="B24" s="13">
        <v>19</v>
      </c>
      <c r="C24" s="13" t="s">
        <v>68</v>
      </c>
      <c r="D24" s="13" t="s">
        <v>173</v>
      </c>
      <c r="E24" s="13" t="s">
        <v>174</v>
      </c>
      <c r="F24" s="13" t="s">
        <v>175</v>
      </c>
      <c r="G24" s="13" t="s">
        <v>71</v>
      </c>
      <c r="H24" s="13" t="s">
        <v>141</v>
      </c>
      <c r="I24" s="13" t="s">
        <v>60</v>
      </c>
      <c r="J24" s="13" t="s">
        <v>75</v>
      </c>
      <c r="K24" s="13" t="s">
        <v>81</v>
      </c>
      <c r="L24" s="13" t="s">
        <v>176</v>
      </c>
      <c r="M24" s="13">
        <v>-13.52559280396</v>
      </c>
      <c r="N24" s="13">
        <v>-73.343208312990001</v>
      </c>
      <c r="O24" s="39">
        <v>3355</v>
      </c>
      <c r="P24" s="13">
        <v>1</v>
      </c>
      <c r="Q24" s="14">
        <v>45</v>
      </c>
      <c r="R24" s="14">
        <v>24</v>
      </c>
      <c r="S24" s="14">
        <v>21</v>
      </c>
      <c r="T24" s="14">
        <v>3</v>
      </c>
      <c r="U24" s="14">
        <v>3</v>
      </c>
      <c r="V24" s="14">
        <f>Tabla1[[#This Row],[Nº SOCIO JOVEN(M)]]+Tabla1[[#This Row],[Nº SOCIO JOVEN(F)]]</f>
        <v>6</v>
      </c>
      <c r="W24" s="14">
        <v>24</v>
      </c>
      <c r="X24" s="14">
        <v>14</v>
      </c>
      <c r="Y24" s="14">
        <v>10</v>
      </c>
      <c r="Z24" s="14">
        <v>1</v>
      </c>
      <c r="AA24" s="14">
        <v>2</v>
      </c>
      <c r="AB24" s="14">
        <f>Tabla1[[#This Row],[Nº FAMILIA JOVEN(M)]]+Tabla1[[#This Row],[Nº FAMILIA JOVEN(F)]]</f>
        <v>3</v>
      </c>
      <c r="AC24" s="52">
        <v>40900</v>
      </c>
      <c r="AD24" s="52">
        <v>17100</v>
      </c>
      <c r="AE24" s="45">
        <v>0</v>
      </c>
      <c r="AF24" s="52">
        <v>58000</v>
      </c>
      <c r="AG24" s="14" t="s">
        <v>61</v>
      </c>
      <c r="AH24" s="14">
        <v>75.7</v>
      </c>
      <c r="AI24" s="14">
        <v>500</v>
      </c>
      <c r="AJ24" s="14">
        <v>720</v>
      </c>
      <c r="AK24" s="14">
        <v>220</v>
      </c>
      <c r="AL24" s="16">
        <f t="shared" si="0"/>
        <v>0.44</v>
      </c>
      <c r="AM24" s="15">
        <v>5000</v>
      </c>
      <c r="AN24" s="15">
        <v>7920</v>
      </c>
      <c r="AO24" s="15">
        <v>2920</v>
      </c>
      <c r="AP24" s="16">
        <f t="shared" si="1"/>
        <v>0.58399999999999996</v>
      </c>
      <c r="AQ24" s="14">
        <v>450</v>
      </c>
      <c r="AR24" s="14">
        <v>600</v>
      </c>
      <c r="AS24" s="14">
        <v>150</v>
      </c>
      <c r="AT24" s="16">
        <f t="shared" si="2"/>
        <v>0.33333333333333331</v>
      </c>
      <c r="AU24" s="15">
        <v>4500</v>
      </c>
      <c r="AV24" s="15">
        <v>6600</v>
      </c>
      <c r="AW24" s="15">
        <v>2100</v>
      </c>
      <c r="AX24" s="16">
        <f t="shared" si="3"/>
        <v>0.46666666666666667</v>
      </c>
      <c r="AY24" s="15">
        <v>71800</v>
      </c>
      <c r="AZ24" s="15">
        <v>37500</v>
      </c>
      <c r="BA24" s="15">
        <v>37500</v>
      </c>
      <c r="BB24" s="16">
        <f t="shared" si="4"/>
        <v>0.52228412256267409</v>
      </c>
      <c r="BC24" s="12"/>
    </row>
    <row r="25" spans="2:55" s="17" customFormat="1" ht="25.5" x14ac:dyDescent="0.25">
      <c r="B25" s="13">
        <v>20</v>
      </c>
      <c r="C25" s="13" t="s">
        <v>68</v>
      </c>
      <c r="D25" s="13" t="s">
        <v>177</v>
      </c>
      <c r="E25" s="13" t="s">
        <v>178</v>
      </c>
      <c r="F25" s="13" t="s">
        <v>168</v>
      </c>
      <c r="G25" s="13" t="s">
        <v>71</v>
      </c>
      <c r="H25" s="13" t="s">
        <v>72</v>
      </c>
      <c r="I25" s="13" t="s">
        <v>60</v>
      </c>
      <c r="J25" s="13" t="s">
        <v>75</v>
      </c>
      <c r="K25" s="13" t="s">
        <v>81</v>
      </c>
      <c r="L25" s="13" t="s">
        <v>176</v>
      </c>
      <c r="M25" s="13">
        <v>-13.52559280396</v>
      </c>
      <c r="N25" s="13">
        <v>-73.343208312990001</v>
      </c>
      <c r="O25" s="39">
        <v>3355</v>
      </c>
      <c r="P25" s="13">
        <v>1</v>
      </c>
      <c r="Q25" s="14">
        <v>34</v>
      </c>
      <c r="R25" s="14">
        <v>18</v>
      </c>
      <c r="S25" s="14">
        <v>16</v>
      </c>
      <c r="T25" s="14">
        <v>5</v>
      </c>
      <c r="U25" s="14">
        <v>5</v>
      </c>
      <c r="V25" s="14">
        <f>Tabla1[[#This Row],[Nº SOCIO JOVEN(M)]]+Tabla1[[#This Row],[Nº SOCIO JOVEN(F)]]</f>
        <v>10</v>
      </c>
      <c r="W25" s="14">
        <v>17</v>
      </c>
      <c r="X25" s="14">
        <v>17</v>
      </c>
      <c r="Y25" s="14">
        <v>0</v>
      </c>
      <c r="Z25" s="14">
        <v>4</v>
      </c>
      <c r="AA25" s="14">
        <v>0</v>
      </c>
      <c r="AB25" s="14">
        <f>Tabla1[[#This Row],[Nº FAMILIA JOVEN(M)]]+Tabla1[[#This Row],[Nº FAMILIA JOVEN(F)]]</f>
        <v>4</v>
      </c>
      <c r="AC25" s="52">
        <v>38800</v>
      </c>
      <c r="AD25" s="52">
        <v>16200</v>
      </c>
      <c r="AE25" s="45">
        <v>0</v>
      </c>
      <c r="AF25" s="52">
        <v>55000</v>
      </c>
      <c r="AG25" s="14" t="s">
        <v>61</v>
      </c>
      <c r="AH25" s="14">
        <v>79.5</v>
      </c>
      <c r="AI25" s="14">
        <v>400</v>
      </c>
      <c r="AJ25" s="14">
        <v>600</v>
      </c>
      <c r="AK25" s="14">
        <v>200</v>
      </c>
      <c r="AL25" s="16">
        <f t="shared" si="0"/>
        <v>0.5</v>
      </c>
      <c r="AM25" s="15">
        <v>4800</v>
      </c>
      <c r="AN25" s="15">
        <v>8400</v>
      </c>
      <c r="AO25" s="15">
        <v>3600</v>
      </c>
      <c r="AP25" s="16">
        <f t="shared" si="1"/>
        <v>0.75</v>
      </c>
      <c r="AQ25" s="14">
        <v>340</v>
      </c>
      <c r="AR25" s="14">
        <v>450</v>
      </c>
      <c r="AS25" s="14">
        <v>110</v>
      </c>
      <c r="AT25" s="16">
        <f t="shared" si="2"/>
        <v>0.3235294117647059</v>
      </c>
      <c r="AU25" s="15">
        <v>4080</v>
      </c>
      <c r="AV25" s="15">
        <v>6300</v>
      </c>
      <c r="AW25" s="15">
        <v>2220</v>
      </c>
      <c r="AX25" s="16">
        <f t="shared" si="3"/>
        <v>0.54411764705882348</v>
      </c>
      <c r="AY25" s="15">
        <v>51850</v>
      </c>
      <c r="AZ25" s="15">
        <v>36049</v>
      </c>
      <c r="BA25" s="15">
        <v>36049</v>
      </c>
      <c r="BB25" s="16">
        <f t="shared" si="4"/>
        <v>0.69525554484088714</v>
      </c>
      <c r="BC25" s="12"/>
    </row>
    <row r="26" spans="2:55" s="17" customFormat="1" ht="38.25" x14ac:dyDescent="0.25">
      <c r="B26" s="13">
        <v>21</v>
      </c>
      <c r="C26" s="13" t="s">
        <v>68</v>
      </c>
      <c r="D26" s="13" t="s">
        <v>179</v>
      </c>
      <c r="E26" s="13" t="s">
        <v>180</v>
      </c>
      <c r="F26" s="13" t="s">
        <v>181</v>
      </c>
      <c r="G26" s="13" t="s">
        <v>71</v>
      </c>
      <c r="H26" s="13" t="s">
        <v>140</v>
      </c>
      <c r="I26" s="13" t="s">
        <v>60</v>
      </c>
      <c r="J26" s="13" t="s">
        <v>75</v>
      </c>
      <c r="K26" s="13" t="s">
        <v>81</v>
      </c>
      <c r="L26" s="13" t="s">
        <v>182</v>
      </c>
      <c r="M26" s="13">
        <v>-13.533082008359999</v>
      </c>
      <c r="N26" s="13">
        <v>-73.369941711430002</v>
      </c>
      <c r="O26" s="39">
        <v>2886</v>
      </c>
      <c r="P26" s="13">
        <v>1</v>
      </c>
      <c r="Q26" s="14">
        <v>40</v>
      </c>
      <c r="R26" s="14">
        <v>18</v>
      </c>
      <c r="S26" s="14">
        <v>22</v>
      </c>
      <c r="T26" s="14">
        <v>4</v>
      </c>
      <c r="U26" s="14">
        <v>1</v>
      </c>
      <c r="V26" s="14">
        <f>Tabla1[[#This Row],[Nº SOCIO JOVEN(M)]]+Tabla1[[#This Row],[Nº SOCIO JOVEN(F)]]</f>
        <v>5</v>
      </c>
      <c r="W26" s="14">
        <v>26</v>
      </c>
      <c r="X26" s="14">
        <v>17</v>
      </c>
      <c r="Y26" s="14">
        <v>9</v>
      </c>
      <c r="Z26" s="14">
        <v>3</v>
      </c>
      <c r="AA26" s="14">
        <v>0</v>
      </c>
      <c r="AB26" s="14">
        <f>Tabla1[[#This Row],[Nº FAMILIA JOVEN(M)]]+Tabla1[[#This Row],[Nº FAMILIA JOVEN(F)]]</f>
        <v>3</v>
      </c>
      <c r="AC26" s="52">
        <v>35300</v>
      </c>
      <c r="AD26" s="52">
        <v>14721</v>
      </c>
      <c r="AE26" s="45">
        <v>0</v>
      </c>
      <c r="AF26" s="52">
        <v>50021</v>
      </c>
      <c r="AG26" s="14" t="s">
        <v>61</v>
      </c>
      <c r="AH26" s="14">
        <v>74</v>
      </c>
      <c r="AI26" s="14">
        <v>780</v>
      </c>
      <c r="AJ26" s="15">
        <v>1260</v>
      </c>
      <c r="AK26" s="14">
        <v>480</v>
      </c>
      <c r="AL26" s="16">
        <f t="shared" si="0"/>
        <v>0.61538461538461542</v>
      </c>
      <c r="AM26" s="15">
        <v>1170</v>
      </c>
      <c r="AN26" s="15">
        <v>2100</v>
      </c>
      <c r="AO26" s="14">
        <v>930</v>
      </c>
      <c r="AP26" s="16">
        <f t="shared" si="1"/>
        <v>0.79487179487179482</v>
      </c>
      <c r="AQ26" s="14">
        <v>240</v>
      </c>
      <c r="AR26" s="14">
        <v>300</v>
      </c>
      <c r="AS26" s="14">
        <v>60</v>
      </c>
      <c r="AT26" s="16">
        <f t="shared" si="2"/>
        <v>0.25</v>
      </c>
      <c r="AU26" s="14">
        <v>360</v>
      </c>
      <c r="AV26" s="14">
        <v>500</v>
      </c>
      <c r="AW26" s="14">
        <v>140</v>
      </c>
      <c r="AX26" s="16">
        <f t="shared" si="3"/>
        <v>0.3888888888888889</v>
      </c>
      <c r="AY26" s="15">
        <v>97000</v>
      </c>
      <c r="AZ26" s="15">
        <v>29417</v>
      </c>
      <c r="BA26" s="15">
        <v>29417</v>
      </c>
      <c r="BB26" s="16">
        <f t="shared" si="4"/>
        <v>0.30326804123711343</v>
      </c>
      <c r="BC26" s="12"/>
    </row>
    <row r="27" spans="2:55" s="17" customFormat="1" ht="38.25" x14ac:dyDescent="0.25">
      <c r="B27" s="13">
        <v>22</v>
      </c>
      <c r="C27" s="13" t="s">
        <v>68</v>
      </c>
      <c r="D27" s="13" t="s">
        <v>183</v>
      </c>
      <c r="E27" s="13" t="s">
        <v>184</v>
      </c>
      <c r="F27" s="13" t="s">
        <v>185</v>
      </c>
      <c r="G27" s="13" t="s">
        <v>71</v>
      </c>
      <c r="H27" s="13" t="s">
        <v>141</v>
      </c>
      <c r="I27" s="13" t="s">
        <v>60</v>
      </c>
      <c r="J27" s="13" t="s">
        <v>75</v>
      </c>
      <c r="K27" s="13" t="s">
        <v>81</v>
      </c>
      <c r="L27" s="13" t="s">
        <v>186</v>
      </c>
      <c r="M27" s="13">
        <v>-13.53894615173</v>
      </c>
      <c r="N27" s="13">
        <v>-73.358070373540002</v>
      </c>
      <c r="O27" s="39">
        <v>3238</v>
      </c>
      <c r="P27" s="13">
        <v>1</v>
      </c>
      <c r="Q27" s="14">
        <v>33</v>
      </c>
      <c r="R27" s="14">
        <v>15</v>
      </c>
      <c r="S27" s="14">
        <v>18</v>
      </c>
      <c r="T27" s="14">
        <v>1</v>
      </c>
      <c r="U27" s="14">
        <v>2</v>
      </c>
      <c r="V27" s="14">
        <f>Tabla1[[#This Row],[Nº SOCIO JOVEN(M)]]+Tabla1[[#This Row],[Nº SOCIO JOVEN(F)]]</f>
        <v>3</v>
      </c>
      <c r="W27" s="14">
        <v>19</v>
      </c>
      <c r="X27" s="14">
        <v>14</v>
      </c>
      <c r="Y27" s="14">
        <v>5</v>
      </c>
      <c r="Z27" s="14">
        <v>1</v>
      </c>
      <c r="AA27" s="14">
        <v>0</v>
      </c>
      <c r="AB27" s="14">
        <f>Tabla1[[#This Row],[Nº FAMILIA JOVEN(M)]]+Tabla1[[#This Row],[Nº FAMILIA JOVEN(F)]]</f>
        <v>1</v>
      </c>
      <c r="AC27" s="52">
        <v>45800</v>
      </c>
      <c r="AD27" s="52">
        <v>19200</v>
      </c>
      <c r="AE27" s="45">
        <v>0</v>
      </c>
      <c r="AF27" s="52">
        <v>65010.54</v>
      </c>
      <c r="AG27" s="14" t="s">
        <v>61</v>
      </c>
      <c r="AH27" s="14">
        <v>78.7</v>
      </c>
      <c r="AI27" s="15">
        <v>1440</v>
      </c>
      <c r="AJ27" s="15">
        <v>2480</v>
      </c>
      <c r="AK27" s="15">
        <v>1040</v>
      </c>
      <c r="AL27" s="16">
        <f t="shared" si="0"/>
        <v>0.72222222222222221</v>
      </c>
      <c r="AM27" s="15">
        <v>7680</v>
      </c>
      <c r="AN27" s="15">
        <v>14720</v>
      </c>
      <c r="AO27" s="15">
        <v>7040</v>
      </c>
      <c r="AP27" s="16">
        <f t="shared" si="1"/>
        <v>0.91666666666666663</v>
      </c>
      <c r="AQ27" s="15">
        <v>1440</v>
      </c>
      <c r="AR27" s="15">
        <v>1900</v>
      </c>
      <c r="AS27" s="14">
        <v>460</v>
      </c>
      <c r="AT27" s="16">
        <f t="shared" si="2"/>
        <v>0.31944444444444442</v>
      </c>
      <c r="AU27" s="15">
        <v>7680</v>
      </c>
      <c r="AV27" s="15">
        <v>11600</v>
      </c>
      <c r="AW27" s="15">
        <v>3920</v>
      </c>
      <c r="AX27" s="16">
        <f t="shared" si="3"/>
        <v>0.51041666666666663</v>
      </c>
      <c r="AY27" s="15">
        <v>59500</v>
      </c>
      <c r="AZ27" s="15">
        <v>37710</v>
      </c>
      <c r="BA27" s="15">
        <v>37710</v>
      </c>
      <c r="BB27" s="16">
        <f t="shared" si="4"/>
        <v>0.63378151260504201</v>
      </c>
      <c r="BC27" s="12"/>
    </row>
    <row r="28" spans="2:55" s="17" customFormat="1" ht="25.5" x14ac:dyDescent="0.25">
      <c r="B28" s="13">
        <v>23</v>
      </c>
      <c r="C28" s="13" t="s">
        <v>68</v>
      </c>
      <c r="D28" s="13" t="s">
        <v>188</v>
      </c>
      <c r="E28" s="13" t="s">
        <v>189</v>
      </c>
      <c r="F28" s="13" t="s">
        <v>190</v>
      </c>
      <c r="G28" s="13" t="s">
        <v>76</v>
      </c>
      <c r="H28" s="13" t="s">
        <v>99</v>
      </c>
      <c r="I28" s="13" t="s">
        <v>60</v>
      </c>
      <c r="J28" s="13" t="s">
        <v>75</v>
      </c>
      <c r="K28" s="13" t="s">
        <v>81</v>
      </c>
      <c r="L28" s="13" t="s">
        <v>81</v>
      </c>
      <c r="M28" s="13">
        <v>-13.528211593629999</v>
      </c>
      <c r="N28" s="13">
        <v>-73.365753173830001</v>
      </c>
      <c r="O28" s="39">
        <v>2977</v>
      </c>
      <c r="P28" s="13">
        <v>1</v>
      </c>
      <c r="Q28" s="14">
        <v>14</v>
      </c>
      <c r="R28" s="14">
        <v>4</v>
      </c>
      <c r="S28" s="14">
        <v>10</v>
      </c>
      <c r="T28" s="14">
        <v>0</v>
      </c>
      <c r="U28" s="14">
        <v>2</v>
      </c>
      <c r="V28" s="14">
        <f>Tabla1[[#This Row],[Nº SOCIO JOVEN(M)]]+Tabla1[[#This Row],[Nº SOCIO JOVEN(F)]]</f>
        <v>2</v>
      </c>
      <c r="W28" s="14">
        <v>11</v>
      </c>
      <c r="X28" s="14">
        <v>2</v>
      </c>
      <c r="Y28" s="14">
        <v>9</v>
      </c>
      <c r="Z28" s="14">
        <v>0</v>
      </c>
      <c r="AA28" s="14">
        <v>2</v>
      </c>
      <c r="AB28" s="14">
        <f>Tabla1[[#This Row],[Nº FAMILIA JOVEN(M)]]+Tabla1[[#This Row],[Nº FAMILIA JOVEN(F)]]</f>
        <v>2</v>
      </c>
      <c r="AC28" s="52">
        <v>38800</v>
      </c>
      <c r="AD28" s="52">
        <v>16200</v>
      </c>
      <c r="AE28" s="45">
        <v>0</v>
      </c>
      <c r="AF28" s="52">
        <v>55035.79</v>
      </c>
      <c r="AG28" s="14" t="s">
        <v>61</v>
      </c>
      <c r="AH28" s="14">
        <v>73.7</v>
      </c>
      <c r="AI28" s="15">
        <v>7500</v>
      </c>
      <c r="AJ28" s="15">
        <v>10500</v>
      </c>
      <c r="AK28" s="15">
        <v>3000</v>
      </c>
      <c r="AL28" s="16">
        <f t="shared" si="0"/>
        <v>0.4</v>
      </c>
      <c r="AM28" s="15">
        <v>37500</v>
      </c>
      <c r="AN28" s="15">
        <v>52500</v>
      </c>
      <c r="AO28" s="15">
        <v>15000</v>
      </c>
      <c r="AP28" s="16">
        <f t="shared" si="1"/>
        <v>0.4</v>
      </c>
      <c r="AQ28" s="15">
        <v>7250</v>
      </c>
      <c r="AR28" s="15">
        <v>10250</v>
      </c>
      <c r="AS28" s="15">
        <v>3000</v>
      </c>
      <c r="AT28" s="16">
        <f t="shared" si="2"/>
        <v>0.41379310344827586</v>
      </c>
      <c r="AU28" s="15">
        <v>36250</v>
      </c>
      <c r="AV28" s="15">
        <v>51250</v>
      </c>
      <c r="AW28" s="15">
        <v>15000</v>
      </c>
      <c r="AX28" s="16">
        <f t="shared" si="3"/>
        <v>0.41379310344827586</v>
      </c>
      <c r="AY28" s="15">
        <v>65000</v>
      </c>
      <c r="AZ28" s="15">
        <v>36350</v>
      </c>
      <c r="BA28" s="15">
        <v>36350</v>
      </c>
      <c r="BB28" s="16">
        <f t="shared" si="4"/>
        <v>0.5592307692307692</v>
      </c>
      <c r="BC28" s="12"/>
    </row>
    <row r="29" spans="2:55" s="17" customFormat="1" ht="25.5" x14ac:dyDescent="0.25">
      <c r="B29" s="13">
        <v>24</v>
      </c>
      <c r="C29" s="13" t="s">
        <v>98</v>
      </c>
      <c r="D29" s="13" t="s">
        <v>191</v>
      </c>
      <c r="E29" s="13" t="s">
        <v>192</v>
      </c>
      <c r="F29" s="13" t="s">
        <v>193</v>
      </c>
      <c r="G29" s="13" t="s">
        <v>76</v>
      </c>
      <c r="H29" s="13" t="s">
        <v>99</v>
      </c>
      <c r="I29" s="13" t="s">
        <v>60</v>
      </c>
      <c r="J29" s="13" t="s">
        <v>75</v>
      </c>
      <c r="K29" s="13" t="s">
        <v>81</v>
      </c>
      <c r="L29" s="13" t="s">
        <v>194</v>
      </c>
      <c r="M29" s="13">
        <v>-13.50648117065</v>
      </c>
      <c r="N29" s="13">
        <v>-73.437934875490001</v>
      </c>
      <c r="O29" s="39">
        <v>2641</v>
      </c>
      <c r="P29" s="13">
        <v>1</v>
      </c>
      <c r="Q29" s="14">
        <v>17</v>
      </c>
      <c r="R29" s="14">
        <v>10</v>
      </c>
      <c r="S29" s="14">
        <v>7</v>
      </c>
      <c r="T29" s="14">
        <v>2</v>
      </c>
      <c r="U29" s="14">
        <v>0</v>
      </c>
      <c r="V29" s="14">
        <f>Tabla1[[#This Row],[Nº SOCIO JOVEN(M)]]+Tabla1[[#This Row],[Nº SOCIO JOVEN(F)]]</f>
        <v>2</v>
      </c>
      <c r="W29" s="14">
        <v>13</v>
      </c>
      <c r="X29" s="14">
        <v>10</v>
      </c>
      <c r="Y29" s="14">
        <v>3</v>
      </c>
      <c r="Z29" s="14">
        <v>2</v>
      </c>
      <c r="AA29" s="14">
        <v>0</v>
      </c>
      <c r="AB29" s="14">
        <f>Tabla1[[#This Row],[Nº FAMILIA JOVEN(M)]]+Tabla1[[#This Row],[Nº FAMILIA JOVEN(F)]]</f>
        <v>2</v>
      </c>
      <c r="AC29" s="52">
        <v>35000</v>
      </c>
      <c r="AD29" s="52">
        <v>15000</v>
      </c>
      <c r="AE29" s="45">
        <v>0</v>
      </c>
      <c r="AF29" s="52">
        <v>50003.4</v>
      </c>
      <c r="AG29" s="14" t="s">
        <v>61</v>
      </c>
      <c r="AH29" s="14">
        <v>79.599999999999994</v>
      </c>
      <c r="AI29" s="15">
        <v>12500</v>
      </c>
      <c r="AJ29" s="15">
        <v>15000</v>
      </c>
      <c r="AK29" s="15">
        <v>2500</v>
      </c>
      <c r="AL29" s="16">
        <f t="shared" si="0"/>
        <v>0.2</v>
      </c>
      <c r="AM29" s="15">
        <v>43750</v>
      </c>
      <c r="AN29" s="15">
        <v>60000</v>
      </c>
      <c r="AO29" s="15">
        <v>16250</v>
      </c>
      <c r="AP29" s="16">
        <f t="shared" si="1"/>
        <v>0.37142857142857144</v>
      </c>
      <c r="AQ29" s="15">
        <v>12000</v>
      </c>
      <c r="AR29" s="15">
        <v>14000</v>
      </c>
      <c r="AS29" s="15">
        <v>2000</v>
      </c>
      <c r="AT29" s="16">
        <f t="shared" si="2"/>
        <v>0.16666666666666666</v>
      </c>
      <c r="AU29" s="15">
        <v>42000</v>
      </c>
      <c r="AV29" s="15">
        <v>56000</v>
      </c>
      <c r="AW29" s="15">
        <v>14000</v>
      </c>
      <c r="AX29" s="16">
        <f t="shared" si="3"/>
        <v>0.33333333333333331</v>
      </c>
      <c r="AY29" s="15">
        <v>47000</v>
      </c>
      <c r="AZ29" s="15">
        <v>32900</v>
      </c>
      <c r="BA29" s="15">
        <v>32900</v>
      </c>
      <c r="BB29" s="16">
        <f t="shared" si="4"/>
        <v>0.7</v>
      </c>
      <c r="BC29" s="12"/>
    </row>
    <row r="30" spans="2:55" s="17" customFormat="1" ht="76.5" hidden="1" x14ac:dyDescent="0.25">
      <c r="B30" s="13">
        <v>25</v>
      </c>
      <c r="C30" s="13" t="s">
        <v>57</v>
      </c>
      <c r="D30" s="13" t="s">
        <v>66</v>
      </c>
      <c r="E30" s="13" t="s">
        <v>212</v>
      </c>
      <c r="F30" s="13" t="s">
        <v>213</v>
      </c>
      <c r="G30" s="13" t="s">
        <v>58</v>
      </c>
      <c r="H30" s="13" t="s">
        <v>59</v>
      </c>
      <c r="I30" s="13" t="s">
        <v>210</v>
      </c>
      <c r="J30" s="13" t="s">
        <v>214</v>
      </c>
      <c r="K30" s="13" t="s">
        <v>215</v>
      </c>
      <c r="L30" s="13" t="s">
        <v>216</v>
      </c>
      <c r="M30" s="13">
        <v>-12.489610672</v>
      </c>
      <c r="N30" s="13">
        <v>-74.62223815918</v>
      </c>
      <c r="O30" s="39">
        <v>3926</v>
      </c>
      <c r="P30" s="13">
        <v>1</v>
      </c>
      <c r="Q30" s="14">
        <v>44</v>
      </c>
      <c r="R30" s="14">
        <v>24</v>
      </c>
      <c r="S30" s="14">
        <v>20</v>
      </c>
      <c r="T30" s="14">
        <v>2</v>
      </c>
      <c r="U30" s="14">
        <v>4</v>
      </c>
      <c r="V30" s="14">
        <f>Tabla1[[#This Row],[Nº SOCIO JOVEN(M)]]+Tabla1[[#This Row],[Nº SOCIO JOVEN(F)]]</f>
        <v>6</v>
      </c>
      <c r="W30" s="14">
        <v>43</v>
      </c>
      <c r="X30" s="14">
        <v>24</v>
      </c>
      <c r="Y30" s="14">
        <v>19</v>
      </c>
      <c r="Z30" s="14">
        <v>2</v>
      </c>
      <c r="AA30" s="14">
        <v>4</v>
      </c>
      <c r="AB30" s="14">
        <f>Tabla1[[#This Row],[Nº FAMILIA JOVEN(M)]]+Tabla1[[#This Row],[Nº FAMILIA JOVEN(F)]]</f>
        <v>6</v>
      </c>
      <c r="AC30" s="52">
        <v>39440</v>
      </c>
      <c r="AD30" s="45">
        <v>0</v>
      </c>
      <c r="AE30" s="52">
        <v>9360</v>
      </c>
      <c r="AF30" s="52">
        <v>48888.14</v>
      </c>
      <c r="AG30" s="14" t="s">
        <v>61</v>
      </c>
      <c r="AH30" s="14">
        <v>77</v>
      </c>
      <c r="AI30" s="14">
        <v>0</v>
      </c>
      <c r="AJ30" s="14">
        <v>0</v>
      </c>
      <c r="AK30" s="14">
        <v>0</v>
      </c>
      <c r="AL30" s="16" t="e">
        <f t="shared" si="0"/>
        <v>#DIV/0!</v>
      </c>
      <c r="AM30" s="14">
        <v>0</v>
      </c>
      <c r="AN30" s="14">
        <v>0</v>
      </c>
      <c r="AO30" s="14">
        <v>0</v>
      </c>
      <c r="AP30" s="16" t="e">
        <f t="shared" si="1"/>
        <v>#DIV/0!</v>
      </c>
      <c r="AQ30" s="14">
        <v>0</v>
      </c>
      <c r="AR30" s="14">
        <v>0</v>
      </c>
      <c r="AS30" s="14">
        <v>0</v>
      </c>
      <c r="AT30" s="16" t="e">
        <f t="shared" si="2"/>
        <v>#DIV/0!</v>
      </c>
      <c r="AU30" s="14">
        <v>0</v>
      </c>
      <c r="AV30" s="14">
        <v>0</v>
      </c>
      <c r="AW30" s="14">
        <v>0</v>
      </c>
      <c r="AX30" s="16" t="e">
        <f t="shared" si="3"/>
        <v>#DIV/0!</v>
      </c>
      <c r="AY30" s="15">
        <v>69950</v>
      </c>
      <c r="AZ30" s="15">
        <v>36120</v>
      </c>
      <c r="BA30" s="15">
        <v>36120</v>
      </c>
      <c r="BB30" s="16">
        <f t="shared" si="4"/>
        <v>0.51636883488205865</v>
      </c>
      <c r="BC30" s="12"/>
    </row>
    <row r="31" spans="2:55" s="17" customFormat="1" ht="25.5" x14ac:dyDescent="0.25">
      <c r="B31" s="13">
        <v>26</v>
      </c>
      <c r="C31" s="13" t="s">
        <v>98</v>
      </c>
      <c r="D31" s="13" t="s">
        <v>195</v>
      </c>
      <c r="E31" s="13" t="s">
        <v>217</v>
      </c>
      <c r="F31" s="13" t="s">
        <v>218</v>
      </c>
      <c r="G31" s="13" t="s">
        <v>71</v>
      </c>
      <c r="H31" s="13" t="s">
        <v>141</v>
      </c>
      <c r="I31" s="13" t="s">
        <v>210</v>
      </c>
      <c r="J31" s="13" t="s">
        <v>219</v>
      </c>
      <c r="K31" s="13" t="s">
        <v>106</v>
      </c>
      <c r="L31" s="13" t="s">
        <v>220</v>
      </c>
      <c r="M31" s="13">
        <v>-12.26311206818</v>
      </c>
      <c r="N31" s="13">
        <v>-74.96979522705</v>
      </c>
      <c r="O31" s="39">
        <v>3361</v>
      </c>
      <c r="P31" s="13">
        <v>1</v>
      </c>
      <c r="Q31" s="14">
        <v>14</v>
      </c>
      <c r="R31" s="14">
        <v>9</v>
      </c>
      <c r="S31" s="14">
        <v>5</v>
      </c>
      <c r="T31" s="14">
        <v>1</v>
      </c>
      <c r="U31" s="14">
        <v>2</v>
      </c>
      <c r="V31" s="14">
        <f>Tabla1[[#This Row],[Nº SOCIO JOVEN(M)]]+Tabla1[[#This Row],[Nº SOCIO JOVEN(F)]]</f>
        <v>3</v>
      </c>
      <c r="W31" s="14">
        <v>14</v>
      </c>
      <c r="X31" s="14">
        <v>9</v>
      </c>
      <c r="Y31" s="14">
        <v>5</v>
      </c>
      <c r="Z31" s="14">
        <v>1</v>
      </c>
      <c r="AA31" s="14">
        <v>2</v>
      </c>
      <c r="AB31" s="14">
        <f>Tabla1[[#This Row],[Nº FAMILIA JOVEN(M)]]+Tabla1[[#This Row],[Nº FAMILIA JOVEN(F)]]</f>
        <v>3</v>
      </c>
      <c r="AC31" s="52">
        <v>35000</v>
      </c>
      <c r="AD31" s="52">
        <v>15000</v>
      </c>
      <c r="AE31" s="45">
        <v>0</v>
      </c>
      <c r="AF31" s="52">
        <v>50216.1</v>
      </c>
      <c r="AG31" s="14" t="s">
        <v>88</v>
      </c>
      <c r="AH31" s="14">
        <v>82</v>
      </c>
      <c r="AI31" s="14">
        <v>12</v>
      </c>
      <c r="AJ31" s="14">
        <v>18</v>
      </c>
      <c r="AK31" s="14">
        <v>6</v>
      </c>
      <c r="AL31" s="16">
        <f t="shared" si="0"/>
        <v>0.5</v>
      </c>
      <c r="AM31" s="15">
        <v>25200</v>
      </c>
      <c r="AN31" s="15">
        <v>46800</v>
      </c>
      <c r="AO31" s="15">
        <v>21600</v>
      </c>
      <c r="AP31" s="16">
        <f t="shared" si="1"/>
        <v>0.8571428571428571</v>
      </c>
      <c r="AQ31" s="14">
        <v>12</v>
      </c>
      <c r="AR31" s="14">
        <v>18</v>
      </c>
      <c r="AS31" s="14">
        <v>6</v>
      </c>
      <c r="AT31" s="16">
        <f t="shared" si="2"/>
        <v>0.5</v>
      </c>
      <c r="AU31" s="15">
        <v>25200</v>
      </c>
      <c r="AV31" s="15">
        <v>46800</v>
      </c>
      <c r="AW31" s="15">
        <v>21600</v>
      </c>
      <c r="AX31" s="16">
        <f t="shared" si="3"/>
        <v>0.8571428571428571</v>
      </c>
      <c r="AY31" s="15">
        <v>42800</v>
      </c>
      <c r="AZ31" s="15">
        <v>33852</v>
      </c>
      <c r="BA31" s="15">
        <v>33852</v>
      </c>
      <c r="BB31" s="16">
        <f t="shared" si="4"/>
        <v>0.79093457943925238</v>
      </c>
      <c r="BC31" s="12"/>
    </row>
    <row r="32" spans="2:55" s="17" customFormat="1" ht="76.5" hidden="1" x14ac:dyDescent="0.25">
      <c r="B32" s="13">
        <v>27</v>
      </c>
      <c r="C32" s="13" t="s">
        <v>57</v>
      </c>
      <c r="D32" s="13" t="s">
        <v>196</v>
      </c>
      <c r="E32" s="13" t="s">
        <v>221</v>
      </c>
      <c r="F32" s="13" t="s">
        <v>222</v>
      </c>
      <c r="G32" s="13" t="s">
        <v>64</v>
      </c>
      <c r="H32" s="13" t="s">
        <v>172</v>
      </c>
      <c r="I32" s="13" t="s">
        <v>210</v>
      </c>
      <c r="J32" s="13" t="s">
        <v>219</v>
      </c>
      <c r="K32" s="13" t="s">
        <v>223</v>
      </c>
      <c r="L32" s="13" t="s">
        <v>224</v>
      </c>
      <c r="M32" s="13">
        <v>-12.279049873350001</v>
      </c>
      <c r="N32" s="13">
        <v>-75.064018249509999</v>
      </c>
      <c r="O32" s="39">
        <v>3859</v>
      </c>
      <c r="P32" s="13">
        <v>1</v>
      </c>
      <c r="Q32" s="14">
        <v>39</v>
      </c>
      <c r="R32" s="14">
        <v>24</v>
      </c>
      <c r="S32" s="14">
        <v>15</v>
      </c>
      <c r="T32" s="14">
        <v>5</v>
      </c>
      <c r="U32" s="14">
        <v>2</v>
      </c>
      <c r="V32" s="14">
        <f>Tabla1[[#This Row],[Nº SOCIO JOVEN(M)]]+Tabla1[[#This Row],[Nº SOCIO JOVEN(F)]]</f>
        <v>7</v>
      </c>
      <c r="W32" s="14">
        <v>39</v>
      </c>
      <c r="X32" s="14">
        <v>24</v>
      </c>
      <c r="Y32" s="14">
        <v>15</v>
      </c>
      <c r="Z32" s="14">
        <v>5</v>
      </c>
      <c r="AA32" s="14">
        <v>2</v>
      </c>
      <c r="AB32" s="14">
        <f>Tabla1[[#This Row],[Nº FAMILIA JOVEN(M)]]+Tabla1[[#This Row],[Nº FAMILIA JOVEN(F)]]</f>
        <v>7</v>
      </c>
      <c r="AC32" s="52">
        <v>39440</v>
      </c>
      <c r="AD32" s="45">
        <v>0</v>
      </c>
      <c r="AE32" s="52">
        <v>9360</v>
      </c>
      <c r="AF32" s="52">
        <v>48989.33</v>
      </c>
      <c r="AG32" s="14" t="s">
        <v>88</v>
      </c>
      <c r="AH32" s="14">
        <v>88.5</v>
      </c>
      <c r="AI32" s="14">
        <v>0</v>
      </c>
      <c r="AJ32" s="14">
        <v>0</v>
      </c>
      <c r="AK32" s="14">
        <v>0</v>
      </c>
      <c r="AL32" s="16" t="e">
        <f t="shared" si="0"/>
        <v>#DIV/0!</v>
      </c>
      <c r="AM32" s="14">
        <v>0</v>
      </c>
      <c r="AN32" s="14">
        <v>0</v>
      </c>
      <c r="AO32" s="14">
        <v>0</v>
      </c>
      <c r="AP32" s="16" t="e">
        <f t="shared" si="1"/>
        <v>#DIV/0!</v>
      </c>
      <c r="AQ32" s="14">
        <v>0</v>
      </c>
      <c r="AR32" s="14">
        <v>0</v>
      </c>
      <c r="AS32" s="14">
        <v>0</v>
      </c>
      <c r="AT32" s="16" t="e">
        <f t="shared" si="2"/>
        <v>#DIV/0!</v>
      </c>
      <c r="AU32" s="14">
        <v>0</v>
      </c>
      <c r="AV32" s="14">
        <v>0</v>
      </c>
      <c r="AW32" s="14">
        <v>0</v>
      </c>
      <c r="AX32" s="16" t="e">
        <f t="shared" si="3"/>
        <v>#DIV/0!</v>
      </c>
      <c r="AY32" s="15">
        <v>17568</v>
      </c>
      <c r="AZ32" s="15">
        <v>14130</v>
      </c>
      <c r="BA32" s="15">
        <v>14130</v>
      </c>
      <c r="BB32" s="16">
        <f t="shared" si="4"/>
        <v>0.80430327868852458</v>
      </c>
      <c r="BC32" s="12"/>
    </row>
    <row r="33" spans="2:55" s="17" customFormat="1" ht="89.25" hidden="1" x14ac:dyDescent="0.25">
      <c r="B33" s="13">
        <v>28</v>
      </c>
      <c r="C33" s="13" t="s">
        <v>57</v>
      </c>
      <c r="D33" s="13" t="s">
        <v>197</v>
      </c>
      <c r="E33" s="13" t="s">
        <v>225</v>
      </c>
      <c r="F33" s="13" t="s">
        <v>226</v>
      </c>
      <c r="G33" s="13" t="s">
        <v>102</v>
      </c>
      <c r="H33" s="13" t="s">
        <v>103</v>
      </c>
      <c r="I33" s="13" t="s">
        <v>210</v>
      </c>
      <c r="J33" s="13" t="s">
        <v>214</v>
      </c>
      <c r="K33" s="13" t="s">
        <v>215</v>
      </c>
      <c r="L33" s="13" t="s">
        <v>227</v>
      </c>
      <c r="M33" s="13">
        <v>-12.51904964447</v>
      </c>
      <c r="N33" s="13">
        <v>-74.576667785639998</v>
      </c>
      <c r="O33" s="39">
        <v>3538</v>
      </c>
      <c r="P33" s="13">
        <v>1</v>
      </c>
      <c r="Q33" s="14">
        <v>40</v>
      </c>
      <c r="R33" s="14">
        <v>33</v>
      </c>
      <c r="S33" s="14">
        <v>7</v>
      </c>
      <c r="T33" s="14">
        <v>3</v>
      </c>
      <c r="U33" s="14">
        <v>1</v>
      </c>
      <c r="V33" s="14">
        <f>Tabla1[[#This Row],[Nº SOCIO JOVEN(M)]]+Tabla1[[#This Row],[Nº SOCIO JOVEN(F)]]</f>
        <v>4</v>
      </c>
      <c r="W33" s="14">
        <v>40</v>
      </c>
      <c r="X33" s="14">
        <v>33</v>
      </c>
      <c r="Y33" s="14">
        <v>7</v>
      </c>
      <c r="Z33" s="14">
        <v>3</v>
      </c>
      <c r="AA33" s="14">
        <v>1</v>
      </c>
      <c r="AB33" s="14">
        <f>Tabla1[[#This Row],[Nº FAMILIA JOVEN(M)]]+Tabla1[[#This Row],[Nº FAMILIA JOVEN(F)]]</f>
        <v>4</v>
      </c>
      <c r="AC33" s="52">
        <v>39440</v>
      </c>
      <c r="AD33" s="45">
        <v>0</v>
      </c>
      <c r="AE33" s="52">
        <v>9360</v>
      </c>
      <c r="AF33" s="52">
        <v>48897.25</v>
      </c>
      <c r="AG33" s="14" t="s">
        <v>61</v>
      </c>
      <c r="AH33" s="14">
        <v>75.900000000000006</v>
      </c>
      <c r="AI33" s="14">
        <v>0</v>
      </c>
      <c r="AJ33" s="14">
        <v>0</v>
      </c>
      <c r="AK33" s="14">
        <v>0</v>
      </c>
      <c r="AL33" s="16" t="e">
        <f t="shared" si="0"/>
        <v>#DIV/0!</v>
      </c>
      <c r="AM33" s="14">
        <v>0</v>
      </c>
      <c r="AN33" s="14">
        <v>0</v>
      </c>
      <c r="AO33" s="14">
        <v>0</v>
      </c>
      <c r="AP33" s="16" t="e">
        <f t="shared" si="1"/>
        <v>#DIV/0!</v>
      </c>
      <c r="AQ33" s="14">
        <v>0</v>
      </c>
      <c r="AR33" s="14">
        <v>0</v>
      </c>
      <c r="AS33" s="14">
        <v>0</v>
      </c>
      <c r="AT33" s="16" t="e">
        <f t="shared" si="2"/>
        <v>#DIV/0!</v>
      </c>
      <c r="AU33" s="14">
        <v>0</v>
      </c>
      <c r="AV33" s="14">
        <v>0</v>
      </c>
      <c r="AW33" s="14">
        <v>0</v>
      </c>
      <c r="AX33" s="16" t="e">
        <f t="shared" si="3"/>
        <v>#DIV/0!</v>
      </c>
      <c r="AY33" s="15">
        <v>47500</v>
      </c>
      <c r="AZ33" s="15">
        <v>33160</v>
      </c>
      <c r="BA33" s="15">
        <v>33160</v>
      </c>
      <c r="BB33" s="16">
        <f t="shared" si="4"/>
        <v>0.69810526315789478</v>
      </c>
      <c r="BC33" s="12"/>
    </row>
    <row r="34" spans="2:55" s="17" customFormat="1" ht="25.5" x14ac:dyDescent="0.25">
      <c r="B34" s="13">
        <v>29</v>
      </c>
      <c r="C34" s="13" t="s">
        <v>98</v>
      </c>
      <c r="D34" s="13" t="s">
        <v>198</v>
      </c>
      <c r="E34" s="13" t="s">
        <v>228</v>
      </c>
      <c r="F34" s="13" t="s">
        <v>229</v>
      </c>
      <c r="G34" s="13" t="s">
        <v>69</v>
      </c>
      <c r="H34" s="13" t="s">
        <v>143</v>
      </c>
      <c r="I34" s="13" t="s">
        <v>210</v>
      </c>
      <c r="J34" s="13" t="s">
        <v>219</v>
      </c>
      <c r="K34" s="13" t="s">
        <v>106</v>
      </c>
      <c r="L34" s="13" t="s">
        <v>230</v>
      </c>
      <c r="M34" s="13">
        <v>-12.20404338837</v>
      </c>
      <c r="N34" s="13">
        <v>-74.956016540530001</v>
      </c>
      <c r="O34" s="39">
        <v>3260</v>
      </c>
      <c r="P34" s="13">
        <v>1</v>
      </c>
      <c r="Q34" s="14">
        <v>14</v>
      </c>
      <c r="R34" s="14">
        <v>12</v>
      </c>
      <c r="S34" s="14">
        <v>2</v>
      </c>
      <c r="T34" s="14">
        <v>1</v>
      </c>
      <c r="U34" s="14">
        <v>0</v>
      </c>
      <c r="V34" s="14">
        <f>Tabla1[[#This Row],[Nº SOCIO JOVEN(M)]]+Tabla1[[#This Row],[Nº SOCIO JOVEN(F)]]</f>
        <v>1</v>
      </c>
      <c r="W34" s="14">
        <v>14</v>
      </c>
      <c r="X34" s="14">
        <v>12</v>
      </c>
      <c r="Y34" s="14">
        <v>2</v>
      </c>
      <c r="Z34" s="14">
        <v>1</v>
      </c>
      <c r="AA34" s="14">
        <v>0</v>
      </c>
      <c r="AB34" s="14">
        <f>Tabla1[[#This Row],[Nº FAMILIA JOVEN(M)]]+Tabla1[[#This Row],[Nº FAMILIA JOVEN(F)]]</f>
        <v>1</v>
      </c>
      <c r="AC34" s="52">
        <v>35000</v>
      </c>
      <c r="AD34" s="52">
        <v>15000</v>
      </c>
      <c r="AE34" s="45">
        <v>0</v>
      </c>
      <c r="AF34" s="52">
        <v>50088.6</v>
      </c>
      <c r="AG34" s="14" t="s">
        <v>61</v>
      </c>
      <c r="AH34" s="14">
        <v>79.599999999999994</v>
      </c>
      <c r="AI34" s="15">
        <v>4540</v>
      </c>
      <c r="AJ34" s="15">
        <v>7865</v>
      </c>
      <c r="AK34" s="15">
        <v>3325</v>
      </c>
      <c r="AL34" s="16">
        <f t="shared" si="0"/>
        <v>0.73237885462555063</v>
      </c>
      <c r="AM34" s="15">
        <v>11350</v>
      </c>
      <c r="AN34" s="15">
        <v>23595</v>
      </c>
      <c r="AO34" s="15">
        <v>12245</v>
      </c>
      <c r="AP34" s="16">
        <f t="shared" si="1"/>
        <v>1.0788546255506608</v>
      </c>
      <c r="AQ34" s="15">
        <v>3435</v>
      </c>
      <c r="AR34" s="15">
        <v>6682</v>
      </c>
      <c r="AS34" s="15">
        <v>3247</v>
      </c>
      <c r="AT34" s="16">
        <f t="shared" si="2"/>
        <v>0.9452692867540029</v>
      </c>
      <c r="AU34" s="15">
        <v>8588</v>
      </c>
      <c r="AV34" s="15">
        <v>20046</v>
      </c>
      <c r="AW34" s="15">
        <v>11459</v>
      </c>
      <c r="AX34" s="16">
        <f t="shared" si="3"/>
        <v>1.3341872380065207</v>
      </c>
      <c r="AY34" s="15">
        <v>4850</v>
      </c>
      <c r="AZ34" s="15">
        <v>16480</v>
      </c>
      <c r="BA34" s="15">
        <v>16480</v>
      </c>
      <c r="BB34" s="16">
        <f t="shared" si="4"/>
        <v>3.3979381443298968</v>
      </c>
      <c r="BC34" s="12"/>
    </row>
    <row r="35" spans="2:55" s="17" customFormat="1" ht="25.5" x14ac:dyDescent="0.25">
      <c r="B35" s="13">
        <v>30</v>
      </c>
      <c r="C35" s="13" t="s">
        <v>98</v>
      </c>
      <c r="D35" s="13" t="s">
        <v>200</v>
      </c>
      <c r="E35" s="13" t="s">
        <v>232</v>
      </c>
      <c r="F35" s="13" t="s">
        <v>231</v>
      </c>
      <c r="G35" s="13" t="s">
        <v>69</v>
      </c>
      <c r="H35" s="13" t="s">
        <v>143</v>
      </c>
      <c r="I35" s="13" t="s">
        <v>210</v>
      </c>
      <c r="J35" s="13" t="s">
        <v>219</v>
      </c>
      <c r="K35" s="13" t="s">
        <v>106</v>
      </c>
      <c r="L35" s="13" t="s">
        <v>233</v>
      </c>
      <c r="M35" s="13">
        <v>-12.23454380035</v>
      </c>
      <c r="N35" s="13">
        <v>-74.939254760739999</v>
      </c>
      <c r="O35" s="39">
        <v>3273</v>
      </c>
      <c r="P35" s="13">
        <v>1</v>
      </c>
      <c r="Q35" s="14">
        <v>16</v>
      </c>
      <c r="R35" s="14">
        <v>16</v>
      </c>
      <c r="S35" s="14">
        <v>0</v>
      </c>
      <c r="T35" s="14">
        <v>0</v>
      </c>
      <c r="U35" s="14">
        <v>0</v>
      </c>
      <c r="V35" s="14">
        <f>Tabla1[[#This Row],[Nº SOCIO JOVEN(M)]]+Tabla1[[#This Row],[Nº SOCIO JOVEN(F)]]</f>
        <v>0</v>
      </c>
      <c r="W35" s="14">
        <v>12</v>
      </c>
      <c r="X35" s="14">
        <v>12</v>
      </c>
      <c r="Y35" s="14">
        <v>0</v>
      </c>
      <c r="Z35" s="14">
        <v>0</v>
      </c>
      <c r="AA35" s="14">
        <v>0</v>
      </c>
      <c r="AB35" s="14">
        <f>Tabla1[[#This Row],[Nº FAMILIA JOVEN(M)]]+Tabla1[[#This Row],[Nº FAMILIA JOVEN(F)]]</f>
        <v>0</v>
      </c>
      <c r="AC35" s="52">
        <v>35000</v>
      </c>
      <c r="AD35" s="52">
        <v>15000</v>
      </c>
      <c r="AE35" s="45">
        <v>0</v>
      </c>
      <c r="AF35" s="52">
        <v>50091.3</v>
      </c>
      <c r="AG35" s="14" t="s">
        <v>61</v>
      </c>
      <c r="AH35" s="14">
        <v>78.5</v>
      </c>
      <c r="AI35" s="15">
        <v>3000</v>
      </c>
      <c r="AJ35" s="15">
        <v>3500</v>
      </c>
      <c r="AK35" s="14">
        <v>500</v>
      </c>
      <c r="AL35" s="16">
        <f t="shared" si="0"/>
        <v>0.16666666666666666</v>
      </c>
      <c r="AM35" s="15">
        <v>7500</v>
      </c>
      <c r="AN35" s="15">
        <v>10500</v>
      </c>
      <c r="AO35" s="15">
        <v>3000</v>
      </c>
      <c r="AP35" s="16">
        <f t="shared" si="1"/>
        <v>0.4</v>
      </c>
      <c r="AQ35" s="15">
        <v>2300</v>
      </c>
      <c r="AR35" s="15">
        <v>2800</v>
      </c>
      <c r="AS35" s="14">
        <v>500</v>
      </c>
      <c r="AT35" s="16">
        <f t="shared" si="2"/>
        <v>0.21739130434782608</v>
      </c>
      <c r="AU35" s="15">
        <v>5750</v>
      </c>
      <c r="AV35" s="15">
        <v>8400</v>
      </c>
      <c r="AW35" s="15">
        <v>2650</v>
      </c>
      <c r="AX35" s="16">
        <f t="shared" si="3"/>
        <v>0.46086956521739131</v>
      </c>
      <c r="AY35" s="15">
        <v>28500</v>
      </c>
      <c r="AZ35" s="15">
        <v>19770</v>
      </c>
      <c r="BA35" s="15">
        <v>19770</v>
      </c>
      <c r="BB35" s="16">
        <f t="shared" si="4"/>
        <v>0.69368421052631579</v>
      </c>
      <c r="BC35" s="12"/>
    </row>
    <row r="36" spans="2:55" s="17" customFormat="1" ht="89.25" hidden="1" x14ac:dyDescent="0.25">
      <c r="B36" s="13">
        <v>31</v>
      </c>
      <c r="C36" s="13" t="s">
        <v>57</v>
      </c>
      <c r="D36" s="13" t="s">
        <v>201</v>
      </c>
      <c r="E36" s="13" t="s">
        <v>234</v>
      </c>
      <c r="F36" s="13" t="s">
        <v>235</v>
      </c>
      <c r="G36" s="13" t="s">
        <v>58</v>
      </c>
      <c r="H36" s="13" t="s">
        <v>762</v>
      </c>
      <c r="I36" s="13" t="s">
        <v>210</v>
      </c>
      <c r="J36" s="13" t="s">
        <v>214</v>
      </c>
      <c r="K36" s="13" t="s">
        <v>236</v>
      </c>
      <c r="L36" s="13" t="s">
        <v>237</v>
      </c>
      <c r="M36" s="13">
        <v>-12.58676815033</v>
      </c>
      <c r="N36" s="13">
        <v>-74.468658447270002</v>
      </c>
      <c r="O36" s="39">
        <v>3730</v>
      </c>
      <c r="P36" s="13">
        <v>2</v>
      </c>
      <c r="Q36" s="14">
        <v>41</v>
      </c>
      <c r="R36" s="14">
        <v>22</v>
      </c>
      <c r="S36" s="14">
        <v>19</v>
      </c>
      <c r="T36" s="14">
        <v>4</v>
      </c>
      <c r="U36" s="14">
        <v>6</v>
      </c>
      <c r="V36" s="14">
        <f>Tabla1[[#This Row],[Nº SOCIO JOVEN(M)]]+Tabla1[[#This Row],[Nº SOCIO JOVEN(F)]]</f>
        <v>10</v>
      </c>
      <c r="W36" s="14">
        <v>41</v>
      </c>
      <c r="X36" s="14">
        <v>22</v>
      </c>
      <c r="Y36" s="14">
        <v>19</v>
      </c>
      <c r="Z36" s="14">
        <v>4</v>
      </c>
      <c r="AA36" s="14">
        <v>6</v>
      </c>
      <c r="AB36" s="14">
        <f>Tabla1[[#This Row],[Nº FAMILIA JOVEN(M)]]+Tabla1[[#This Row],[Nº FAMILIA JOVEN(F)]]</f>
        <v>10</v>
      </c>
      <c r="AC36" s="52">
        <v>39440</v>
      </c>
      <c r="AD36" s="45">
        <v>0.5</v>
      </c>
      <c r="AE36" s="52">
        <v>9360</v>
      </c>
      <c r="AF36" s="52">
        <v>48973.1</v>
      </c>
      <c r="AG36" s="14" t="s">
        <v>63</v>
      </c>
      <c r="AH36" s="14">
        <v>68.7</v>
      </c>
      <c r="AI36" s="14">
        <v>0</v>
      </c>
      <c r="AJ36" s="14">
        <v>0</v>
      </c>
      <c r="AK36" s="14">
        <v>0</v>
      </c>
      <c r="AL36" s="16" t="e">
        <f t="shared" si="0"/>
        <v>#DIV/0!</v>
      </c>
      <c r="AM36" s="14">
        <v>0</v>
      </c>
      <c r="AN36" s="14">
        <v>0</v>
      </c>
      <c r="AO36" s="14">
        <v>0</v>
      </c>
      <c r="AP36" s="16" t="e">
        <f t="shared" si="1"/>
        <v>#DIV/0!</v>
      </c>
      <c r="AQ36" s="14">
        <v>0</v>
      </c>
      <c r="AR36" s="14">
        <v>0</v>
      </c>
      <c r="AS36" s="14">
        <v>0</v>
      </c>
      <c r="AT36" s="16" t="e">
        <f t="shared" si="2"/>
        <v>#DIV/0!</v>
      </c>
      <c r="AU36" s="14">
        <v>0</v>
      </c>
      <c r="AV36" s="14">
        <v>0</v>
      </c>
      <c r="AW36" s="14">
        <v>0</v>
      </c>
      <c r="AX36" s="16" t="e">
        <f t="shared" si="3"/>
        <v>#DIV/0!</v>
      </c>
      <c r="AY36" s="15">
        <v>92425</v>
      </c>
      <c r="AZ36" s="15">
        <v>38509</v>
      </c>
      <c r="BA36" s="15">
        <v>38509</v>
      </c>
      <c r="BB36" s="16">
        <f t="shared" si="4"/>
        <v>0.41665133892345146</v>
      </c>
      <c r="BC36" s="12"/>
    </row>
    <row r="37" spans="2:55" s="17" customFormat="1" ht="76.5" hidden="1" x14ac:dyDescent="0.25">
      <c r="B37" s="13">
        <v>32</v>
      </c>
      <c r="C37" s="13" t="s">
        <v>57</v>
      </c>
      <c r="D37" s="13" t="s">
        <v>202</v>
      </c>
      <c r="E37" s="13" t="s">
        <v>238</v>
      </c>
      <c r="F37" s="13" t="s">
        <v>239</v>
      </c>
      <c r="G37" s="13" t="s">
        <v>58</v>
      </c>
      <c r="H37" s="13" t="s">
        <v>59</v>
      </c>
      <c r="I37" s="13" t="s">
        <v>210</v>
      </c>
      <c r="J37" s="13" t="s">
        <v>214</v>
      </c>
      <c r="K37" s="13" t="s">
        <v>236</v>
      </c>
      <c r="L37" s="13" t="s">
        <v>240</v>
      </c>
      <c r="M37" s="13">
        <v>-12.61434745789</v>
      </c>
      <c r="N37" s="13">
        <v>-74.48201751709</v>
      </c>
      <c r="O37" s="39">
        <v>3946</v>
      </c>
      <c r="P37" s="13">
        <v>2</v>
      </c>
      <c r="Q37" s="14">
        <v>46</v>
      </c>
      <c r="R37" s="14">
        <v>33</v>
      </c>
      <c r="S37" s="14">
        <v>13</v>
      </c>
      <c r="T37" s="14">
        <v>5</v>
      </c>
      <c r="U37" s="14">
        <v>3</v>
      </c>
      <c r="V37" s="14">
        <f>Tabla1[[#This Row],[Nº SOCIO JOVEN(M)]]+Tabla1[[#This Row],[Nº SOCIO JOVEN(F)]]</f>
        <v>8</v>
      </c>
      <c r="W37" s="14">
        <v>43</v>
      </c>
      <c r="X37" s="14">
        <v>33</v>
      </c>
      <c r="Y37" s="14">
        <v>10</v>
      </c>
      <c r="Z37" s="14">
        <v>5</v>
      </c>
      <c r="AA37" s="14">
        <v>2</v>
      </c>
      <c r="AB37" s="14">
        <f>Tabla1[[#This Row],[Nº FAMILIA JOVEN(M)]]+Tabla1[[#This Row],[Nº FAMILIA JOVEN(F)]]</f>
        <v>7</v>
      </c>
      <c r="AC37" s="52">
        <v>39440</v>
      </c>
      <c r="AD37" s="45">
        <v>22</v>
      </c>
      <c r="AE37" s="52">
        <v>9360</v>
      </c>
      <c r="AF37" s="52">
        <v>48909.01</v>
      </c>
      <c r="AG37" s="14" t="s">
        <v>61</v>
      </c>
      <c r="AH37" s="14">
        <v>76.7</v>
      </c>
      <c r="AI37" s="14">
        <v>0</v>
      </c>
      <c r="AJ37" s="14">
        <v>0</v>
      </c>
      <c r="AK37" s="14">
        <v>0</v>
      </c>
      <c r="AL37" s="16" t="e">
        <f t="shared" si="0"/>
        <v>#DIV/0!</v>
      </c>
      <c r="AM37" s="14">
        <v>0</v>
      </c>
      <c r="AN37" s="14">
        <v>0</v>
      </c>
      <c r="AO37" s="14">
        <v>0</v>
      </c>
      <c r="AP37" s="16" t="e">
        <f t="shared" si="1"/>
        <v>#DIV/0!</v>
      </c>
      <c r="AQ37" s="14">
        <v>0</v>
      </c>
      <c r="AR37" s="14">
        <v>0</v>
      </c>
      <c r="AS37" s="14">
        <v>0</v>
      </c>
      <c r="AT37" s="16" t="e">
        <f t="shared" si="2"/>
        <v>#DIV/0!</v>
      </c>
      <c r="AU37" s="14">
        <v>0</v>
      </c>
      <c r="AV37" s="14">
        <v>0</v>
      </c>
      <c r="AW37" s="14">
        <v>0</v>
      </c>
      <c r="AX37" s="16" t="e">
        <f t="shared" si="3"/>
        <v>#DIV/0!</v>
      </c>
      <c r="AY37" s="15">
        <v>71550</v>
      </c>
      <c r="AZ37" s="15">
        <v>36200</v>
      </c>
      <c r="BA37" s="15">
        <v>36200</v>
      </c>
      <c r="BB37" s="16">
        <f t="shared" si="4"/>
        <v>0.50593990216631723</v>
      </c>
      <c r="BC37" s="12"/>
    </row>
    <row r="38" spans="2:55" s="17" customFormat="1" ht="38.25" x14ac:dyDescent="0.25">
      <c r="B38" s="13">
        <v>33</v>
      </c>
      <c r="C38" s="13" t="s">
        <v>68</v>
      </c>
      <c r="D38" s="13" t="s">
        <v>203</v>
      </c>
      <c r="E38" s="13" t="s">
        <v>241</v>
      </c>
      <c r="F38" s="13" t="s">
        <v>242</v>
      </c>
      <c r="G38" s="13" t="s">
        <v>69</v>
      </c>
      <c r="H38" s="13" t="s">
        <v>86</v>
      </c>
      <c r="I38" s="13" t="s">
        <v>210</v>
      </c>
      <c r="J38" s="13" t="s">
        <v>219</v>
      </c>
      <c r="K38" s="13" t="s">
        <v>106</v>
      </c>
      <c r="L38" s="13" t="s">
        <v>243</v>
      </c>
      <c r="M38" s="13">
        <v>-12.23071956635</v>
      </c>
      <c r="N38" s="13">
        <v>-74.90517425537</v>
      </c>
      <c r="O38" s="39">
        <v>3362</v>
      </c>
      <c r="P38" s="13">
        <v>1</v>
      </c>
      <c r="Q38" s="14">
        <v>34</v>
      </c>
      <c r="R38" s="14">
        <v>25</v>
      </c>
      <c r="S38" s="14">
        <v>9</v>
      </c>
      <c r="T38" s="14">
        <v>7</v>
      </c>
      <c r="U38" s="14">
        <v>4</v>
      </c>
      <c r="V38" s="14">
        <f>Tabla1[[#This Row],[Nº SOCIO JOVEN(M)]]+Tabla1[[#This Row],[Nº SOCIO JOVEN(F)]]</f>
        <v>11</v>
      </c>
      <c r="W38" s="14">
        <v>26</v>
      </c>
      <c r="X38" s="14">
        <v>21</v>
      </c>
      <c r="Y38" s="14">
        <v>5</v>
      </c>
      <c r="Z38" s="14">
        <v>7</v>
      </c>
      <c r="AA38" s="14">
        <v>2</v>
      </c>
      <c r="AB38" s="14">
        <f>Tabla1[[#This Row],[Nº FAMILIA JOVEN(M)]]+Tabla1[[#This Row],[Nº FAMILIA JOVEN(F)]]</f>
        <v>9</v>
      </c>
      <c r="AC38" s="52">
        <v>42300</v>
      </c>
      <c r="AD38" s="52">
        <v>18004</v>
      </c>
      <c r="AE38" s="45">
        <v>0</v>
      </c>
      <c r="AF38" s="52">
        <v>60504.53</v>
      </c>
      <c r="AG38" s="14" t="s">
        <v>61</v>
      </c>
      <c r="AH38" s="14">
        <v>70</v>
      </c>
      <c r="AI38" s="15">
        <v>40000</v>
      </c>
      <c r="AJ38" s="15">
        <v>100000</v>
      </c>
      <c r="AK38" s="15">
        <v>60000</v>
      </c>
      <c r="AL38" s="16">
        <f t="shared" ref="AL38:AL58" si="5">(AJ38-AI38)/AI38</f>
        <v>1.5</v>
      </c>
      <c r="AM38" s="15">
        <v>40000</v>
      </c>
      <c r="AN38" s="15">
        <v>120000</v>
      </c>
      <c r="AO38" s="15">
        <v>80000</v>
      </c>
      <c r="AP38" s="16">
        <f t="shared" ref="AP38:AP58" si="6">(AN38-AM38)/AM38</f>
        <v>2</v>
      </c>
      <c r="AQ38" s="15">
        <v>35000</v>
      </c>
      <c r="AR38" s="15">
        <v>100000</v>
      </c>
      <c r="AS38" s="15">
        <v>65000</v>
      </c>
      <c r="AT38" s="16">
        <f t="shared" ref="AT38:AT58" si="7">(AR38-AQ38)/AQ38</f>
        <v>1.8571428571428572</v>
      </c>
      <c r="AU38" s="15">
        <v>35000</v>
      </c>
      <c r="AV38" s="15">
        <v>120000</v>
      </c>
      <c r="AW38" s="15">
        <v>85000</v>
      </c>
      <c r="AX38" s="16">
        <f t="shared" ref="AX38:AX58" si="8">(AV38-AU38)/AU38</f>
        <v>2.4285714285714284</v>
      </c>
      <c r="AY38" s="15">
        <v>31750</v>
      </c>
      <c r="AZ38" s="15">
        <v>31700</v>
      </c>
      <c r="BA38" s="15">
        <v>31700</v>
      </c>
      <c r="BB38" s="16">
        <f t="shared" ref="BB38:BB58" si="9">AZ38/AY38</f>
        <v>0.99842519685039366</v>
      </c>
      <c r="BC38" s="12"/>
    </row>
    <row r="39" spans="2:55" s="17" customFormat="1" ht="76.5" hidden="1" x14ac:dyDescent="0.25">
      <c r="B39" s="13">
        <v>34</v>
      </c>
      <c r="C39" s="13" t="s">
        <v>57</v>
      </c>
      <c r="D39" s="13" t="s">
        <v>204</v>
      </c>
      <c r="E39" s="13" t="s">
        <v>244</v>
      </c>
      <c r="F39" s="13" t="s">
        <v>245</v>
      </c>
      <c r="G39" s="13" t="s">
        <v>64</v>
      </c>
      <c r="H39" s="13" t="s">
        <v>67</v>
      </c>
      <c r="I39" s="13" t="s">
        <v>210</v>
      </c>
      <c r="J39" s="13" t="s">
        <v>219</v>
      </c>
      <c r="K39" s="13" t="s">
        <v>223</v>
      </c>
      <c r="L39" s="13" t="s">
        <v>246</v>
      </c>
      <c r="M39" s="13">
        <v>-12.26974105835</v>
      </c>
      <c r="N39" s="13">
        <v>-75.085731506350001</v>
      </c>
      <c r="O39" s="39">
        <v>3933</v>
      </c>
      <c r="P39" s="13">
        <v>1</v>
      </c>
      <c r="Q39" s="14">
        <v>52</v>
      </c>
      <c r="R39" s="14">
        <v>37</v>
      </c>
      <c r="S39" s="14">
        <v>15</v>
      </c>
      <c r="T39" s="14">
        <v>5</v>
      </c>
      <c r="U39" s="14">
        <v>0</v>
      </c>
      <c r="V39" s="14">
        <f>Tabla1[[#This Row],[Nº SOCIO JOVEN(M)]]+Tabla1[[#This Row],[Nº SOCIO JOVEN(F)]]</f>
        <v>5</v>
      </c>
      <c r="W39" s="14">
        <v>52</v>
      </c>
      <c r="X39" s="14">
        <v>37</v>
      </c>
      <c r="Y39" s="14">
        <v>15</v>
      </c>
      <c r="Z39" s="14">
        <v>5</v>
      </c>
      <c r="AA39" s="14">
        <v>0</v>
      </c>
      <c r="AB39" s="14">
        <f>Tabla1[[#This Row],[Nº FAMILIA JOVEN(M)]]+Tabla1[[#This Row],[Nº FAMILIA JOVEN(F)]]</f>
        <v>5</v>
      </c>
      <c r="AC39" s="52">
        <v>39440</v>
      </c>
      <c r="AD39" s="45">
        <v>0</v>
      </c>
      <c r="AE39" s="52">
        <v>9360</v>
      </c>
      <c r="AF39" s="52">
        <v>48989.18</v>
      </c>
      <c r="AG39" s="14" t="s">
        <v>61</v>
      </c>
      <c r="AH39" s="14">
        <v>76.8</v>
      </c>
      <c r="AI39" s="14">
        <v>0</v>
      </c>
      <c r="AJ39" s="14">
        <v>0</v>
      </c>
      <c r="AK39" s="14">
        <v>0</v>
      </c>
      <c r="AL39" s="16" t="e">
        <f t="shared" si="5"/>
        <v>#DIV/0!</v>
      </c>
      <c r="AM39" s="14">
        <v>0</v>
      </c>
      <c r="AN39" s="14">
        <v>0</v>
      </c>
      <c r="AO39" s="14">
        <v>0</v>
      </c>
      <c r="AP39" s="16" t="e">
        <f t="shared" si="6"/>
        <v>#DIV/0!</v>
      </c>
      <c r="AQ39" s="14">
        <v>0</v>
      </c>
      <c r="AR39" s="14">
        <v>0</v>
      </c>
      <c r="AS39" s="14">
        <v>0</v>
      </c>
      <c r="AT39" s="16" t="e">
        <f t="shared" si="7"/>
        <v>#DIV/0!</v>
      </c>
      <c r="AU39" s="14">
        <v>0</v>
      </c>
      <c r="AV39" s="14">
        <v>0</v>
      </c>
      <c r="AW39" s="14">
        <v>0</v>
      </c>
      <c r="AX39" s="16" t="e">
        <f t="shared" si="8"/>
        <v>#DIV/0!</v>
      </c>
      <c r="AY39" s="15">
        <v>34000</v>
      </c>
      <c r="AZ39" s="15">
        <v>29780</v>
      </c>
      <c r="BA39" s="15">
        <v>29780</v>
      </c>
      <c r="BB39" s="16">
        <f t="shared" si="9"/>
        <v>0.87588235294117645</v>
      </c>
      <c r="BC39" s="12"/>
    </row>
    <row r="40" spans="2:55" s="17" customFormat="1" ht="76.5" hidden="1" x14ac:dyDescent="0.25">
      <c r="B40" s="13">
        <v>35</v>
      </c>
      <c r="C40" s="13" t="s">
        <v>57</v>
      </c>
      <c r="D40" s="13" t="s">
        <v>101</v>
      </c>
      <c r="E40" s="13" t="s">
        <v>247</v>
      </c>
      <c r="F40" s="13" t="s">
        <v>248</v>
      </c>
      <c r="G40" s="13" t="s">
        <v>102</v>
      </c>
      <c r="H40" s="13" t="s">
        <v>211</v>
      </c>
      <c r="I40" s="13" t="s">
        <v>210</v>
      </c>
      <c r="J40" s="13" t="s">
        <v>219</v>
      </c>
      <c r="K40" s="13" t="s">
        <v>223</v>
      </c>
      <c r="L40" s="13" t="s">
        <v>249</v>
      </c>
      <c r="M40" s="13">
        <v>-12.29960441589</v>
      </c>
      <c r="N40" s="13">
        <v>-75.003311157230002</v>
      </c>
      <c r="O40" s="39">
        <v>3650</v>
      </c>
      <c r="P40" s="13">
        <v>1</v>
      </c>
      <c r="Q40" s="14">
        <v>60</v>
      </c>
      <c r="R40" s="14">
        <v>44</v>
      </c>
      <c r="S40" s="14">
        <v>16</v>
      </c>
      <c r="T40" s="14">
        <v>5</v>
      </c>
      <c r="U40" s="14">
        <v>6</v>
      </c>
      <c r="V40" s="14">
        <f>Tabla1[[#This Row],[Nº SOCIO JOVEN(M)]]+Tabla1[[#This Row],[Nº SOCIO JOVEN(F)]]</f>
        <v>11</v>
      </c>
      <c r="W40" s="14">
        <v>60</v>
      </c>
      <c r="X40" s="14">
        <v>44</v>
      </c>
      <c r="Y40" s="14">
        <v>16</v>
      </c>
      <c r="Z40" s="14">
        <v>5</v>
      </c>
      <c r="AA40" s="14">
        <v>6</v>
      </c>
      <c r="AB40" s="14">
        <f>Tabla1[[#This Row],[Nº FAMILIA JOVEN(M)]]+Tabla1[[#This Row],[Nº FAMILIA JOVEN(F)]]</f>
        <v>11</v>
      </c>
      <c r="AC40" s="52">
        <v>39440</v>
      </c>
      <c r="AD40" s="45">
        <v>0</v>
      </c>
      <c r="AE40" s="52">
        <v>9360</v>
      </c>
      <c r="AF40" s="52">
        <v>48981.13</v>
      </c>
      <c r="AG40" s="14" t="s">
        <v>63</v>
      </c>
      <c r="AH40" s="14">
        <v>69</v>
      </c>
      <c r="AI40" s="14">
        <v>0</v>
      </c>
      <c r="AJ40" s="14">
        <v>0</v>
      </c>
      <c r="AK40" s="14">
        <v>0</v>
      </c>
      <c r="AL40" s="16" t="e">
        <f t="shared" si="5"/>
        <v>#DIV/0!</v>
      </c>
      <c r="AM40" s="14">
        <v>0</v>
      </c>
      <c r="AN40" s="14">
        <v>0</v>
      </c>
      <c r="AO40" s="14">
        <v>0</v>
      </c>
      <c r="AP40" s="16" t="e">
        <f t="shared" si="6"/>
        <v>#DIV/0!</v>
      </c>
      <c r="AQ40" s="14">
        <v>0</v>
      </c>
      <c r="AR40" s="14">
        <v>0</v>
      </c>
      <c r="AS40" s="14">
        <v>0</v>
      </c>
      <c r="AT40" s="16" t="e">
        <f t="shared" si="7"/>
        <v>#DIV/0!</v>
      </c>
      <c r="AU40" s="14">
        <v>0</v>
      </c>
      <c r="AV40" s="14">
        <v>0</v>
      </c>
      <c r="AW40" s="14">
        <v>0</v>
      </c>
      <c r="AX40" s="16" t="e">
        <f t="shared" si="8"/>
        <v>#DIV/0!</v>
      </c>
      <c r="AY40" s="15">
        <v>30000</v>
      </c>
      <c r="AZ40" s="15">
        <v>22530</v>
      </c>
      <c r="BA40" s="15">
        <v>22530</v>
      </c>
      <c r="BB40" s="16">
        <f t="shared" si="9"/>
        <v>0.751</v>
      </c>
      <c r="BC40" s="12"/>
    </row>
    <row r="41" spans="2:55" s="17" customFormat="1" ht="76.5" hidden="1" x14ac:dyDescent="0.25">
      <c r="B41" s="13">
        <v>36</v>
      </c>
      <c r="C41" s="13" t="s">
        <v>57</v>
      </c>
      <c r="D41" s="13" t="s">
        <v>104</v>
      </c>
      <c r="E41" s="13" t="s">
        <v>250</v>
      </c>
      <c r="F41" s="13" t="s">
        <v>251</v>
      </c>
      <c r="G41" s="13" t="s">
        <v>102</v>
      </c>
      <c r="H41" s="13" t="s">
        <v>103</v>
      </c>
      <c r="I41" s="13" t="s">
        <v>210</v>
      </c>
      <c r="J41" s="13" t="s">
        <v>214</v>
      </c>
      <c r="K41" s="13" t="s">
        <v>252</v>
      </c>
      <c r="L41" s="13" t="s">
        <v>253</v>
      </c>
      <c r="M41" s="13">
        <v>-12.55037021637</v>
      </c>
      <c r="N41" s="13">
        <v>-74.419921875</v>
      </c>
      <c r="O41" s="39">
        <v>2886</v>
      </c>
      <c r="P41" s="13">
        <v>1</v>
      </c>
      <c r="Q41" s="14">
        <v>40</v>
      </c>
      <c r="R41" s="14">
        <v>18</v>
      </c>
      <c r="S41" s="14">
        <v>22</v>
      </c>
      <c r="T41" s="14">
        <v>2</v>
      </c>
      <c r="U41" s="14">
        <v>2</v>
      </c>
      <c r="V41" s="14">
        <f>Tabla1[[#This Row],[Nº SOCIO JOVEN(M)]]+Tabla1[[#This Row],[Nº SOCIO JOVEN(F)]]</f>
        <v>4</v>
      </c>
      <c r="W41" s="14">
        <v>40</v>
      </c>
      <c r="X41" s="14">
        <v>18</v>
      </c>
      <c r="Y41" s="14">
        <v>22</v>
      </c>
      <c r="Z41" s="14">
        <v>2</v>
      </c>
      <c r="AA41" s="14">
        <v>2</v>
      </c>
      <c r="AB41" s="14">
        <f>Tabla1[[#This Row],[Nº FAMILIA JOVEN(M)]]+Tabla1[[#This Row],[Nº FAMILIA JOVEN(F)]]</f>
        <v>4</v>
      </c>
      <c r="AC41" s="52">
        <v>39440</v>
      </c>
      <c r="AD41" s="45">
        <v>20.5</v>
      </c>
      <c r="AE41" s="52">
        <v>9360</v>
      </c>
      <c r="AF41" s="52">
        <v>48996.17</v>
      </c>
      <c r="AG41" s="14" t="s">
        <v>61</v>
      </c>
      <c r="AH41" s="14">
        <v>79</v>
      </c>
      <c r="AI41" s="14">
        <v>0</v>
      </c>
      <c r="AJ41" s="14">
        <v>0</v>
      </c>
      <c r="AK41" s="14">
        <v>0</v>
      </c>
      <c r="AL41" s="16" t="e">
        <f t="shared" si="5"/>
        <v>#DIV/0!</v>
      </c>
      <c r="AM41" s="14">
        <v>0</v>
      </c>
      <c r="AN41" s="14">
        <v>0</v>
      </c>
      <c r="AO41" s="14">
        <v>0</v>
      </c>
      <c r="AP41" s="16" t="e">
        <f t="shared" si="6"/>
        <v>#DIV/0!</v>
      </c>
      <c r="AQ41" s="14">
        <v>0</v>
      </c>
      <c r="AR41" s="14">
        <v>0</v>
      </c>
      <c r="AS41" s="14">
        <v>0</v>
      </c>
      <c r="AT41" s="16" t="e">
        <f t="shared" si="7"/>
        <v>#DIV/0!</v>
      </c>
      <c r="AU41" s="14">
        <v>0</v>
      </c>
      <c r="AV41" s="14">
        <v>0</v>
      </c>
      <c r="AW41" s="14">
        <v>0</v>
      </c>
      <c r="AX41" s="16" t="e">
        <f t="shared" si="8"/>
        <v>#DIV/0!</v>
      </c>
      <c r="AY41" s="15">
        <v>62000</v>
      </c>
      <c r="AZ41" s="15">
        <v>34460</v>
      </c>
      <c r="BA41" s="15">
        <v>34460</v>
      </c>
      <c r="BB41" s="16">
        <f t="shared" si="9"/>
        <v>0.55580645161290321</v>
      </c>
      <c r="BC41" s="12"/>
    </row>
    <row r="42" spans="2:55" s="17" customFormat="1" ht="51" hidden="1" x14ac:dyDescent="0.25">
      <c r="B42" s="13">
        <v>37</v>
      </c>
      <c r="C42" s="13" t="s">
        <v>57</v>
      </c>
      <c r="D42" s="13" t="s">
        <v>105</v>
      </c>
      <c r="E42" s="13" t="s">
        <v>254</v>
      </c>
      <c r="F42" s="13" t="s">
        <v>255</v>
      </c>
      <c r="G42" s="13" t="s">
        <v>102</v>
      </c>
      <c r="H42" s="13" t="s">
        <v>199</v>
      </c>
      <c r="I42" s="13" t="s">
        <v>210</v>
      </c>
      <c r="J42" s="13" t="s">
        <v>214</v>
      </c>
      <c r="K42" s="13" t="s">
        <v>236</v>
      </c>
      <c r="L42" s="13" t="s">
        <v>236</v>
      </c>
      <c r="M42" s="13">
        <v>-12.578148841859999</v>
      </c>
      <c r="N42" s="13">
        <v>-74.411750793460001</v>
      </c>
      <c r="O42" s="39">
        <v>3562</v>
      </c>
      <c r="P42" s="13">
        <v>2</v>
      </c>
      <c r="Q42" s="14">
        <v>42</v>
      </c>
      <c r="R42" s="14">
        <v>19</v>
      </c>
      <c r="S42" s="14">
        <v>23</v>
      </c>
      <c r="T42" s="14">
        <v>2</v>
      </c>
      <c r="U42" s="14">
        <v>2</v>
      </c>
      <c r="V42" s="14">
        <f>Tabla1[[#This Row],[Nº SOCIO JOVEN(M)]]+Tabla1[[#This Row],[Nº SOCIO JOVEN(F)]]</f>
        <v>4</v>
      </c>
      <c r="W42" s="14">
        <v>42</v>
      </c>
      <c r="X42" s="14">
        <v>19</v>
      </c>
      <c r="Y42" s="14">
        <v>23</v>
      </c>
      <c r="Z42" s="14">
        <v>2</v>
      </c>
      <c r="AA42" s="14">
        <v>2</v>
      </c>
      <c r="AB42" s="14">
        <f>Tabla1[[#This Row],[Nº FAMILIA JOVEN(M)]]+Tabla1[[#This Row],[Nº FAMILIA JOVEN(F)]]</f>
        <v>4</v>
      </c>
      <c r="AC42" s="52">
        <v>39440</v>
      </c>
      <c r="AD42" s="45">
        <v>0</v>
      </c>
      <c r="AE42" s="52">
        <v>9360</v>
      </c>
      <c r="AF42" s="52">
        <v>48978.55</v>
      </c>
      <c r="AG42" s="14" t="s">
        <v>63</v>
      </c>
      <c r="AH42" s="14">
        <v>65.2</v>
      </c>
      <c r="AI42" s="14">
        <v>0</v>
      </c>
      <c r="AJ42" s="14">
        <v>0</v>
      </c>
      <c r="AK42" s="14">
        <v>0</v>
      </c>
      <c r="AL42" s="16" t="e">
        <f t="shared" si="5"/>
        <v>#DIV/0!</v>
      </c>
      <c r="AM42" s="14">
        <v>0</v>
      </c>
      <c r="AN42" s="14">
        <v>0</v>
      </c>
      <c r="AO42" s="14">
        <v>0</v>
      </c>
      <c r="AP42" s="16" t="e">
        <f t="shared" si="6"/>
        <v>#DIV/0!</v>
      </c>
      <c r="AQ42" s="14">
        <v>0</v>
      </c>
      <c r="AR42" s="14">
        <v>0</v>
      </c>
      <c r="AS42" s="14">
        <v>0</v>
      </c>
      <c r="AT42" s="16" t="e">
        <f t="shared" si="7"/>
        <v>#DIV/0!</v>
      </c>
      <c r="AU42" s="14">
        <v>0</v>
      </c>
      <c r="AV42" s="14">
        <v>0</v>
      </c>
      <c r="AW42" s="14">
        <v>0</v>
      </c>
      <c r="AX42" s="16" t="e">
        <f t="shared" si="8"/>
        <v>#DIV/0!</v>
      </c>
      <c r="AY42" s="15">
        <v>59800</v>
      </c>
      <c r="AZ42" s="15">
        <v>40110</v>
      </c>
      <c r="BA42" s="15">
        <v>40110</v>
      </c>
      <c r="BB42" s="16">
        <f t="shared" si="9"/>
        <v>0.67073578595317729</v>
      </c>
      <c r="BC42" s="12"/>
    </row>
    <row r="43" spans="2:55" s="17" customFormat="1" ht="38.25" x14ac:dyDescent="0.25">
      <c r="B43" s="13">
        <v>38</v>
      </c>
      <c r="C43" s="13" t="s">
        <v>68</v>
      </c>
      <c r="D43" s="13" t="s">
        <v>205</v>
      </c>
      <c r="E43" s="13" t="s">
        <v>256</v>
      </c>
      <c r="F43" s="13" t="s">
        <v>257</v>
      </c>
      <c r="G43" s="13" t="s">
        <v>69</v>
      </c>
      <c r="H43" s="13" t="s">
        <v>70</v>
      </c>
      <c r="I43" s="13" t="s">
        <v>210</v>
      </c>
      <c r="J43" s="13" t="s">
        <v>219</v>
      </c>
      <c r="K43" s="13" t="s">
        <v>258</v>
      </c>
      <c r="L43" s="13" t="s">
        <v>259</v>
      </c>
      <c r="M43" s="13">
        <v>-12.49867725372</v>
      </c>
      <c r="N43" s="13">
        <v>-74.828247070309999</v>
      </c>
      <c r="O43" s="39">
        <v>2733</v>
      </c>
      <c r="P43" s="13">
        <v>2</v>
      </c>
      <c r="Q43" s="14">
        <v>25</v>
      </c>
      <c r="R43" s="14">
        <v>14</v>
      </c>
      <c r="S43" s="14">
        <v>11</v>
      </c>
      <c r="T43" s="14">
        <v>2</v>
      </c>
      <c r="U43" s="14">
        <v>4</v>
      </c>
      <c r="V43" s="14">
        <f>Tabla1[[#This Row],[Nº SOCIO JOVEN(M)]]+Tabla1[[#This Row],[Nº SOCIO JOVEN(F)]]</f>
        <v>6</v>
      </c>
      <c r="W43" s="14">
        <v>20</v>
      </c>
      <c r="X43" s="14">
        <v>12</v>
      </c>
      <c r="Y43" s="14">
        <v>8</v>
      </c>
      <c r="Z43" s="14">
        <v>2</v>
      </c>
      <c r="AA43" s="14">
        <v>4</v>
      </c>
      <c r="AB43" s="14">
        <f>Tabla1[[#This Row],[Nº FAMILIA JOVEN(M)]]+Tabla1[[#This Row],[Nº FAMILIA JOVEN(F)]]</f>
        <v>6</v>
      </c>
      <c r="AC43" s="52">
        <v>61300</v>
      </c>
      <c r="AD43" s="52">
        <v>25700</v>
      </c>
      <c r="AE43" s="52">
        <v>0</v>
      </c>
      <c r="AF43" s="52">
        <v>87361.94</v>
      </c>
      <c r="AG43" s="14" t="s">
        <v>63</v>
      </c>
      <c r="AH43" s="14">
        <v>58.5</v>
      </c>
      <c r="AI43" s="15">
        <v>3800</v>
      </c>
      <c r="AJ43" s="15">
        <v>6200</v>
      </c>
      <c r="AK43" s="15">
        <v>2400</v>
      </c>
      <c r="AL43" s="16">
        <f t="shared" si="5"/>
        <v>0.63157894736842102</v>
      </c>
      <c r="AM43" s="15">
        <v>9500</v>
      </c>
      <c r="AN43" s="15">
        <v>18600</v>
      </c>
      <c r="AO43" s="15">
        <v>9100</v>
      </c>
      <c r="AP43" s="16">
        <f t="shared" si="6"/>
        <v>0.95789473684210524</v>
      </c>
      <c r="AQ43" s="15">
        <v>3780</v>
      </c>
      <c r="AR43" s="15">
        <v>6184</v>
      </c>
      <c r="AS43" s="15">
        <v>2404</v>
      </c>
      <c r="AT43" s="16">
        <f t="shared" si="7"/>
        <v>0.63597883597883598</v>
      </c>
      <c r="AU43" s="15">
        <v>9450</v>
      </c>
      <c r="AV43" s="15">
        <v>18552</v>
      </c>
      <c r="AW43" s="15">
        <v>9102</v>
      </c>
      <c r="AX43" s="16">
        <f t="shared" si="8"/>
        <v>0.96317460317460313</v>
      </c>
      <c r="AY43" s="15">
        <v>83820</v>
      </c>
      <c r="AZ43" s="15">
        <v>57449</v>
      </c>
      <c r="BA43" s="15">
        <v>57449</v>
      </c>
      <c r="BB43" s="16">
        <f t="shared" si="9"/>
        <v>0.68538534955857788</v>
      </c>
      <c r="BC43" s="12"/>
    </row>
    <row r="44" spans="2:55" s="17" customFormat="1" ht="76.5" hidden="1" x14ac:dyDescent="0.25">
      <c r="B44" s="13">
        <v>39</v>
      </c>
      <c r="C44" s="13" t="s">
        <v>57</v>
      </c>
      <c r="D44" s="13" t="s">
        <v>206</v>
      </c>
      <c r="E44" s="13" t="s">
        <v>260</v>
      </c>
      <c r="F44" s="13" t="s">
        <v>261</v>
      </c>
      <c r="G44" s="13" t="s">
        <v>102</v>
      </c>
      <c r="H44" s="13" t="s">
        <v>103</v>
      </c>
      <c r="I44" s="13" t="s">
        <v>210</v>
      </c>
      <c r="J44" s="13" t="s">
        <v>214</v>
      </c>
      <c r="K44" s="13" t="s">
        <v>236</v>
      </c>
      <c r="L44" s="13" t="s">
        <v>262</v>
      </c>
      <c r="M44" s="13">
        <v>-12.63207435608</v>
      </c>
      <c r="N44" s="13">
        <v>-74.37799835205</v>
      </c>
      <c r="O44" s="39">
        <v>3423</v>
      </c>
      <c r="P44" s="13">
        <v>2</v>
      </c>
      <c r="Q44" s="14">
        <v>42</v>
      </c>
      <c r="R44" s="14">
        <v>21</v>
      </c>
      <c r="S44" s="14">
        <v>21</v>
      </c>
      <c r="T44" s="14">
        <v>0</v>
      </c>
      <c r="U44" s="14">
        <v>2</v>
      </c>
      <c r="V44" s="14">
        <f>Tabla1[[#This Row],[Nº SOCIO JOVEN(M)]]+Tabla1[[#This Row],[Nº SOCIO JOVEN(F)]]</f>
        <v>2</v>
      </c>
      <c r="W44" s="14">
        <v>41</v>
      </c>
      <c r="X44" s="14">
        <v>20</v>
      </c>
      <c r="Y44" s="14">
        <v>21</v>
      </c>
      <c r="Z44" s="14">
        <v>0</v>
      </c>
      <c r="AA44" s="14">
        <v>2</v>
      </c>
      <c r="AB44" s="14">
        <f>Tabla1[[#This Row],[Nº FAMILIA JOVEN(M)]]+Tabla1[[#This Row],[Nº FAMILIA JOVEN(F)]]</f>
        <v>2</v>
      </c>
      <c r="AC44" s="52">
        <v>39440</v>
      </c>
      <c r="AD44" s="45">
        <v>0</v>
      </c>
      <c r="AE44" s="52">
        <v>9360</v>
      </c>
      <c r="AF44" s="52">
        <v>48971.27</v>
      </c>
      <c r="AG44" s="14" t="s">
        <v>61</v>
      </c>
      <c r="AH44" s="14">
        <v>75</v>
      </c>
      <c r="AI44" s="14">
        <v>0</v>
      </c>
      <c r="AJ44" s="14">
        <v>0</v>
      </c>
      <c r="AK44" s="14">
        <v>0</v>
      </c>
      <c r="AL44" s="16" t="e">
        <f t="shared" si="5"/>
        <v>#DIV/0!</v>
      </c>
      <c r="AM44" s="14">
        <v>0</v>
      </c>
      <c r="AN44" s="14">
        <v>0</v>
      </c>
      <c r="AO44" s="14">
        <v>0</v>
      </c>
      <c r="AP44" s="16" t="e">
        <f t="shared" si="6"/>
        <v>#DIV/0!</v>
      </c>
      <c r="AQ44" s="14">
        <v>0</v>
      </c>
      <c r="AR44" s="14">
        <v>0</v>
      </c>
      <c r="AS44" s="14">
        <v>0</v>
      </c>
      <c r="AT44" s="16" t="e">
        <f t="shared" si="7"/>
        <v>#DIV/0!</v>
      </c>
      <c r="AU44" s="14">
        <v>0</v>
      </c>
      <c r="AV44" s="14">
        <v>0</v>
      </c>
      <c r="AW44" s="14">
        <v>0</v>
      </c>
      <c r="AX44" s="16" t="e">
        <f t="shared" si="8"/>
        <v>#DIV/0!</v>
      </c>
      <c r="AY44" s="15">
        <v>61000</v>
      </c>
      <c r="AZ44" s="15">
        <v>34460</v>
      </c>
      <c r="BA44" s="15">
        <v>34460</v>
      </c>
      <c r="BB44" s="16">
        <f t="shared" si="9"/>
        <v>0.56491803278688524</v>
      </c>
      <c r="BC44" s="12"/>
    </row>
    <row r="45" spans="2:55" s="17" customFormat="1" ht="76.5" hidden="1" x14ac:dyDescent="0.25">
      <c r="B45" s="13">
        <v>40</v>
      </c>
      <c r="C45" s="13" t="s">
        <v>57</v>
      </c>
      <c r="D45" s="13" t="s">
        <v>122</v>
      </c>
      <c r="E45" s="13" t="s">
        <v>263</v>
      </c>
      <c r="F45" s="13" t="s">
        <v>264</v>
      </c>
      <c r="G45" s="13" t="s">
        <v>64</v>
      </c>
      <c r="H45" s="13" t="s">
        <v>172</v>
      </c>
      <c r="I45" s="13" t="s">
        <v>210</v>
      </c>
      <c r="J45" s="13" t="s">
        <v>219</v>
      </c>
      <c r="K45" s="13" t="s">
        <v>223</v>
      </c>
      <c r="L45" s="13" t="s">
        <v>223</v>
      </c>
      <c r="M45" s="13">
        <v>-12.259016036989999</v>
      </c>
      <c r="N45" s="13">
        <v>-75.070495605470001</v>
      </c>
      <c r="O45" s="39">
        <v>3800</v>
      </c>
      <c r="P45" s="13">
        <v>1</v>
      </c>
      <c r="Q45" s="14">
        <v>44</v>
      </c>
      <c r="R45" s="14">
        <v>32</v>
      </c>
      <c r="S45" s="14">
        <v>12</v>
      </c>
      <c r="T45" s="14">
        <v>2</v>
      </c>
      <c r="U45" s="14">
        <v>0</v>
      </c>
      <c r="V45" s="14">
        <f>Tabla1[[#This Row],[Nº SOCIO JOVEN(M)]]+Tabla1[[#This Row],[Nº SOCIO JOVEN(F)]]</f>
        <v>2</v>
      </c>
      <c r="W45" s="14">
        <v>44</v>
      </c>
      <c r="X45" s="14">
        <v>32</v>
      </c>
      <c r="Y45" s="14">
        <v>12</v>
      </c>
      <c r="Z45" s="14">
        <v>2</v>
      </c>
      <c r="AA45" s="14">
        <v>0</v>
      </c>
      <c r="AB45" s="14">
        <f>Tabla1[[#This Row],[Nº FAMILIA JOVEN(M)]]+Tabla1[[#This Row],[Nº FAMILIA JOVEN(F)]]</f>
        <v>2</v>
      </c>
      <c r="AC45" s="52">
        <v>39440</v>
      </c>
      <c r="AD45" s="45">
        <v>1</v>
      </c>
      <c r="AE45" s="52">
        <v>9360</v>
      </c>
      <c r="AF45" s="52">
        <v>48990.13</v>
      </c>
      <c r="AG45" s="14" t="s">
        <v>88</v>
      </c>
      <c r="AH45" s="14">
        <v>82.8</v>
      </c>
      <c r="AI45" s="14">
        <v>0</v>
      </c>
      <c r="AJ45" s="14">
        <v>0</v>
      </c>
      <c r="AK45" s="14">
        <v>0</v>
      </c>
      <c r="AL45" s="16" t="e">
        <f t="shared" si="5"/>
        <v>#DIV/0!</v>
      </c>
      <c r="AM45" s="14">
        <v>0</v>
      </c>
      <c r="AN45" s="14">
        <v>0</v>
      </c>
      <c r="AO45" s="14">
        <v>0</v>
      </c>
      <c r="AP45" s="16" t="e">
        <f t="shared" si="6"/>
        <v>#DIV/0!</v>
      </c>
      <c r="AQ45" s="14">
        <v>0</v>
      </c>
      <c r="AR45" s="14">
        <v>0</v>
      </c>
      <c r="AS45" s="14">
        <v>0</v>
      </c>
      <c r="AT45" s="16" t="e">
        <f t="shared" si="7"/>
        <v>#DIV/0!</v>
      </c>
      <c r="AU45" s="14">
        <v>0</v>
      </c>
      <c r="AV45" s="14">
        <v>0</v>
      </c>
      <c r="AW45" s="14">
        <v>0</v>
      </c>
      <c r="AX45" s="16" t="e">
        <f t="shared" si="8"/>
        <v>#DIV/0!</v>
      </c>
      <c r="AY45" s="15">
        <v>102500</v>
      </c>
      <c r="AZ45" s="15">
        <v>68000</v>
      </c>
      <c r="BA45" s="15">
        <v>68000</v>
      </c>
      <c r="BB45" s="16">
        <f t="shared" si="9"/>
        <v>0.6634146341463415</v>
      </c>
      <c r="BC45" s="12"/>
    </row>
    <row r="46" spans="2:55" s="17" customFormat="1" ht="38.25" x14ac:dyDescent="0.25">
      <c r="B46" s="13">
        <v>41</v>
      </c>
      <c r="C46" s="13" t="s">
        <v>68</v>
      </c>
      <c r="D46" s="13" t="s">
        <v>207</v>
      </c>
      <c r="E46" s="13" t="s">
        <v>265</v>
      </c>
      <c r="F46" s="13" t="s">
        <v>266</v>
      </c>
      <c r="G46" s="13" t="s">
        <v>69</v>
      </c>
      <c r="H46" s="13" t="s">
        <v>86</v>
      </c>
      <c r="I46" s="13" t="s">
        <v>210</v>
      </c>
      <c r="J46" s="13" t="s">
        <v>219</v>
      </c>
      <c r="K46" s="13" t="s">
        <v>267</v>
      </c>
      <c r="L46" s="13" t="s">
        <v>267</v>
      </c>
      <c r="M46" s="13">
        <v>-12.36531734467</v>
      </c>
      <c r="N46" s="13">
        <v>-75.054794311519998</v>
      </c>
      <c r="O46" s="39">
        <v>3604</v>
      </c>
      <c r="P46" s="13">
        <v>1</v>
      </c>
      <c r="Q46" s="14">
        <v>38</v>
      </c>
      <c r="R46" s="14">
        <v>27</v>
      </c>
      <c r="S46" s="14">
        <v>11</v>
      </c>
      <c r="T46" s="14">
        <v>4</v>
      </c>
      <c r="U46" s="14">
        <v>2</v>
      </c>
      <c r="V46" s="14">
        <f>Tabla1[[#This Row],[Nº SOCIO JOVEN(M)]]+Tabla1[[#This Row],[Nº SOCIO JOVEN(F)]]</f>
        <v>6</v>
      </c>
      <c r="W46" s="14">
        <v>32</v>
      </c>
      <c r="X46" s="14">
        <v>27</v>
      </c>
      <c r="Y46" s="14">
        <v>5</v>
      </c>
      <c r="Z46" s="14">
        <v>4</v>
      </c>
      <c r="AA46" s="14">
        <v>2</v>
      </c>
      <c r="AB46" s="14">
        <f>Tabla1[[#This Row],[Nº FAMILIA JOVEN(M)]]+Tabla1[[#This Row],[Nº FAMILIA JOVEN(F)]]</f>
        <v>6</v>
      </c>
      <c r="AC46" s="52">
        <v>76100</v>
      </c>
      <c r="AD46" s="52">
        <v>35960</v>
      </c>
      <c r="AE46" s="45">
        <v>0</v>
      </c>
      <c r="AF46" s="52">
        <v>112482.25</v>
      </c>
      <c r="AG46" s="14" t="s">
        <v>61</v>
      </c>
      <c r="AH46" s="14">
        <v>77.5</v>
      </c>
      <c r="AI46" s="15">
        <v>72000</v>
      </c>
      <c r="AJ46" s="15">
        <v>108000</v>
      </c>
      <c r="AK46" s="15">
        <v>36000</v>
      </c>
      <c r="AL46" s="16">
        <f t="shared" si="5"/>
        <v>0.5</v>
      </c>
      <c r="AM46" s="15">
        <v>54000</v>
      </c>
      <c r="AN46" s="15">
        <v>118800</v>
      </c>
      <c r="AO46" s="15">
        <v>64800</v>
      </c>
      <c r="AP46" s="16">
        <f t="shared" si="6"/>
        <v>1.2</v>
      </c>
      <c r="AQ46" s="15">
        <v>71000</v>
      </c>
      <c r="AR46" s="15">
        <v>106000</v>
      </c>
      <c r="AS46" s="15">
        <v>35000</v>
      </c>
      <c r="AT46" s="16">
        <f t="shared" si="7"/>
        <v>0.49295774647887325</v>
      </c>
      <c r="AU46" s="15">
        <v>53250</v>
      </c>
      <c r="AV46" s="15">
        <v>116600</v>
      </c>
      <c r="AW46" s="15">
        <v>63350</v>
      </c>
      <c r="AX46" s="16">
        <f t="shared" si="8"/>
        <v>1.1896713615023473</v>
      </c>
      <c r="AY46" s="15">
        <v>107530</v>
      </c>
      <c r="AZ46" s="15">
        <v>57630</v>
      </c>
      <c r="BA46" s="15">
        <v>57630</v>
      </c>
      <c r="BB46" s="16">
        <f t="shared" si="9"/>
        <v>0.53594345763972839</v>
      </c>
      <c r="BC46" s="12"/>
    </row>
    <row r="47" spans="2:55" s="17" customFormat="1" ht="38.25" x14ac:dyDescent="0.25">
      <c r="B47" s="13">
        <v>42</v>
      </c>
      <c r="C47" s="13" t="s">
        <v>68</v>
      </c>
      <c r="D47" s="13" t="s">
        <v>208</v>
      </c>
      <c r="E47" s="13" t="s">
        <v>268</v>
      </c>
      <c r="F47" s="13" t="s">
        <v>269</v>
      </c>
      <c r="G47" s="13" t="s">
        <v>71</v>
      </c>
      <c r="H47" s="13" t="s">
        <v>72</v>
      </c>
      <c r="I47" s="13" t="s">
        <v>210</v>
      </c>
      <c r="J47" s="13" t="s">
        <v>219</v>
      </c>
      <c r="K47" s="13" t="s">
        <v>270</v>
      </c>
      <c r="L47" s="13" t="s">
        <v>270</v>
      </c>
      <c r="M47" s="13">
        <v>-12.407444953920001</v>
      </c>
      <c r="N47" s="13">
        <v>-74.891426086430002</v>
      </c>
      <c r="O47" s="39">
        <v>3262</v>
      </c>
      <c r="P47" s="13">
        <v>1</v>
      </c>
      <c r="Q47" s="14">
        <v>15</v>
      </c>
      <c r="R47" s="14">
        <v>8</v>
      </c>
      <c r="S47" s="14">
        <v>7</v>
      </c>
      <c r="T47" s="14">
        <v>2</v>
      </c>
      <c r="U47" s="14">
        <v>2</v>
      </c>
      <c r="V47" s="14">
        <f>Tabla1[[#This Row],[Nº SOCIO JOVEN(M)]]+Tabla1[[#This Row],[Nº SOCIO JOVEN(F)]]</f>
        <v>4</v>
      </c>
      <c r="W47" s="14">
        <v>15</v>
      </c>
      <c r="X47" s="14">
        <v>8</v>
      </c>
      <c r="Y47" s="14">
        <v>7</v>
      </c>
      <c r="Z47" s="14">
        <v>2</v>
      </c>
      <c r="AA47" s="14">
        <v>2</v>
      </c>
      <c r="AB47" s="14">
        <f>Tabla1[[#This Row],[Nº FAMILIA JOVEN(M)]]+Tabla1[[#This Row],[Nº FAMILIA JOVEN(F)]]</f>
        <v>4</v>
      </c>
      <c r="AC47" s="52">
        <v>42300</v>
      </c>
      <c r="AD47" s="52">
        <v>17700</v>
      </c>
      <c r="AE47" s="45">
        <v>0</v>
      </c>
      <c r="AF47" s="52">
        <v>60222.09</v>
      </c>
      <c r="AG47" s="14" t="s">
        <v>61</v>
      </c>
      <c r="AH47" s="14">
        <v>74</v>
      </c>
      <c r="AI47" s="14">
        <v>450</v>
      </c>
      <c r="AJ47" s="14">
        <v>660</v>
      </c>
      <c r="AK47" s="14">
        <v>210</v>
      </c>
      <c r="AL47" s="16">
        <f t="shared" si="5"/>
        <v>0.46666666666666667</v>
      </c>
      <c r="AM47" s="15">
        <v>8100</v>
      </c>
      <c r="AN47" s="15">
        <v>13200</v>
      </c>
      <c r="AO47" s="15">
        <v>5100</v>
      </c>
      <c r="AP47" s="16">
        <f t="shared" si="6"/>
        <v>0.62962962962962965</v>
      </c>
      <c r="AQ47" s="14">
        <v>250</v>
      </c>
      <c r="AR47" s="14">
        <v>550</v>
      </c>
      <c r="AS47" s="14">
        <v>300</v>
      </c>
      <c r="AT47" s="16">
        <f t="shared" si="7"/>
        <v>1.2</v>
      </c>
      <c r="AU47" s="15">
        <v>4500</v>
      </c>
      <c r="AV47" s="15">
        <v>11000</v>
      </c>
      <c r="AW47" s="15">
        <v>6500</v>
      </c>
      <c r="AX47" s="16">
        <f t="shared" si="8"/>
        <v>1.4444444444444444</v>
      </c>
      <c r="AY47" s="15">
        <v>53099</v>
      </c>
      <c r="AZ47" s="15">
        <v>45631</v>
      </c>
      <c r="BA47" s="15">
        <v>45631</v>
      </c>
      <c r="BB47" s="16">
        <f t="shared" si="9"/>
        <v>0.85935705003860718</v>
      </c>
      <c r="BC47" s="12"/>
    </row>
    <row r="48" spans="2:55" s="17" customFormat="1" ht="38.25" x14ac:dyDescent="0.25">
      <c r="B48" s="13">
        <v>43</v>
      </c>
      <c r="C48" s="13" t="s">
        <v>68</v>
      </c>
      <c r="D48" s="13" t="s">
        <v>139</v>
      </c>
      <c r="E48" s="13" t="s">
        <v>271</v>
      </c>
      <c r="F48" s="13" t="s">
        <v>272</v>
      </c>
      <c r="G48" s="13" t="s">
        <v>69</v>
      </c>
      <c r="H48" s="13" t="s">
        <v>86</v>
      </c>
      <c r="I48" s="13" t="s">
        <v>210</v>
      </c>
      <c r="J48" s="13" t="s">
        <v>219</v>
      </c>
      <c r="K48" s="13" t="s">
        <v>258</v>
      </c>
      <c r="L48" s="13" t="s">
        <v>273</v>
      </c>
      <c r="M48" s="13">
        <v>-12.353337287900001</v>
      </c>
      <c r="N48" s="13">
        <v>-74.867462158199999</v>
      </c>
      <c r="O48" s="39">
        <v>3706</v>
      </c>
      <c r="P48" s="13">
        <v>2</v>
      </c>
      <c r="Q48" s="14">
        <v>12</v>
      </c>
      <c r="R48" s="14">
        <v>5</v>
      </c>
      <c r="S48" s="14">
        <v>7</v>
      </c>
      <c r="T48" s="14">
        <v>1</v>
      </c>
      <c r="U48" s="14">
        <v>3</v>
      </c>
      <c r="V48" s="14">
        <f>Tabla1[[#This Row],[Nº SOCIO JOVEN(M)]]+Tabla1[[#This Row],[Nº SOCIO JOVEN(F)]]</f>
        <v>4</v>
      </c>
      <c r="W48" s="14">
        <v>12</v>
      </c>
      <c r="X48" s="14">
        <v>5</v>
      </c>
      <c r="Y48" s="14">
        <v>7</v>
      </c>
      <c r="Z48" s="14">
        <v>1</v>
      </c>
      <c r="AA48" s="14">
        <v>3</v>
      </c>
      <c r="AB48" s="14">
        <f>Tabla1[[#This Row],[Nº FAMILIA JOVEN(M)]]+Tabla1[[#This Row],[Nº FAMILIA JOVEN(F)]]</f>
        <v>4</v>
      </c>
      <c r="AC48" s="52">
        <v>40200</v>
      </c>
      <c r="AD48" s="52">
        <v>17717</v>
      </c>
      <c r="AE48" s="52">
        <v>0</v>
      </c>
      <c r="AF48" s="52">
        <v>57972.2</v>
      </c>
      <c r="AG48" s="14" t="s">
        <v>61</v>
      </c>
      <c r="AH48" s="14">
        <v>74.5</v>
      </c>
      <c r="AI48" s="15">
        <v>16000</v>
      </c>
      <c r="AJ48" s="15">
        <v>18000</v>
      </c>
      <c r="AK48" s="15">
        <v>2000</v>
      </c>
      <c r="AL48" s="16">
        <f t="shared" si="5"/>
        <v>0.125</v>
      </c>
      <c r="AM48" s="15">
        <v>19200</v>
      </c>
      <c r="AN48" s="15">
        <v>27000</v>
      </c>
      <c r="AO48" s="15">
        <v>7800</v>
      </c>
      <c r="AP48" s="16">
        <f t="shared" si="6"/>
        <v>0.40625</v>
      </c>
      <c r="AQ48" s="15">
        <v>11410</v>
      </c>
      <c r="AR48" s="15">
        <v>13040</v>
      </c>
      <c r="AS48" s="15">
        <v>1630</v>
      </c>
      <c r="AT48" s="16">
        <f t="shared" si="7"/>
        <v>0.14285714285714285</v>
      </c>
      <c r="AU48" s="15">
        <v>13692</v>
      </c>
      <c r="AV48" s="15">
        <v>19560</v>
      </c>
      <c r="AW48" s="15">
        <v>5868</v>
      </c>
      <c r="AX48" s="16">
        <f t="shared" si="8"/>
        <v>0.42857142857142855</v>
      </c>
      <c r="AY48" s="15">
        <v>123994</v>
      </c>
      <c r="AZ48" s="15">
        <v>109421</v>
      </c>
      <c r="BA48" s="15">
        <v>109421</v>
      </c>
      <c r="BB48" s="16">
        <f t="shared" si="9"/>
        <v>0.88247011952191234</v>
      </c>
      <c r="BC48" s="12"/>
    </row>
    <row r="49" spans="1:55" s="17" customFormat="1" ht="38.25" x14ac:dyDescent="0.25">
      <c r="B49" s="13">
        <v>44</v>
      </c>
      <c r="C49" s="13" t="s">
        <v>68</v>
      </c>
      <c r="D49" s="13" t="s">
        <v>209</v>
      </c>
      <c r="E49" s="13" t="s">
        <v>274</v>
      </c>
      <c r="F49" s="13" t="s">
        <v>275</v>
      </c>
      <c r="G49" s="13" t="s">
        <v>76</v>
      </c>
      <c r="H49" s="13" t="s">
        <v>121</v>
      </c>
      <c r="I49" s="13" t="s">
        <v>210</v>
      </c>
      <c r="J49" s="13" t="s">
        <v>219</v>
      </c>
      <c r="K49" s="13" t="s">
        <v>106</v>
      </c>
      <c r="L49" s="13" t="s">
        <v>276</v>
      </c>
      <c r="M49" s="13">
        <v>-12.26135063171</v>
      </c>
      <c r="N49" s="13">
        <v>-75.004653930659998</v>
      </c>
      <c r="O49" s="39">
        <v>3369</v>
      </c>
      <c r="P49" s="13">
        <v>1</v>
      </c>
      <c r="Q49" s="14">
        <v>12</v>
      </c>
      <c r="R49" s="14">
        <v>6</v>
      </c>
      <c r="S49" s="14">
        <v>6</v>
      </c>
      <c r="T49" s="14">
        <v>1</v>
      </c>
      <c r="U49" s="14">
        <v>2</v>
      </c>
      <c r="V49" s="14">
        <f>Tabla1[[#This Row],[Nº SOCIO JOVEN(M)]]+Tabla1[[#This Row],[Nº SOCIO JOVEN(F)]]</f>
        <v>3</v>
      </c>
      <c r="W49" s="14">
        <v>4</v>
      </c>
      <c r="X49" s="14">
        <v>4</v>
      </c>
      <c r="Y49" s="14">
        <v>0</v>
      </c>
      <c r="Z49" s="14">
        <v>1</v>
      </c>
      <c r="AA49" s="14">
        <v>0</v>
      </c>
      <c r="AB49" s="14">
        <f>Tabla1[[#This Row],[Nº FAMILIA JOVEN(M)]]+Tabla1[[#This Row],[Nº FAMILIA JOVEN(F)]]</f>
        <v>1</v>
      </c>
      <c r="AC49" s="52">
        <v>33200</v>
      </c>
      <c r="AD49" s="52">
        <v>13800</v>
      </c>
      <c r="AE49" s="45">
        <v>0</v>
      </c>
      <c r="AF49" s="52">
        <v>47188.9</v>
      </c>
      <c r="AG49" s="14" t="s">
        <v>63</v>
      </c>
      <c r="AH49" s="14">
        <v>59</v>
      </c>
      <c r="AI49" s="14">
        <v>650</v>
      </c>
      <c r="AJ49" s="15">
        <v>1200</v>
      </c>
      <c r="AK49" s="14">
        <v>550</v>
      </c>
      <c r="AL49" s="16">
        <f t="shared" si="5"/>
        <v>0.84615384615384615</v>
      </c>
      <c r="AM49" s="15">
        <v>2925</v>
      </c>
      <c r="AN49" s="15">
        <v>6000</v>
      </c>
      <c r="AO49" s="15">
        <v>3075</v>
      </c>
      <c r="AP49" s="16">
        <f t="shared" si="6"/>
        <v>1.0512820512820513</v>
      </c>
      <c r="AQ49" s="14">
        <v>600</v>
      </c>
      <c r="AR49" s="15">
        <v>1000</v>
      </c>
      <c r="AS49" s="14">
        <v>400</v>
      </c>
      <c r="AT49" s="16">
        <f t="shared" si="7"/>
        <v>0.66666666666666663</v>
      </c>
      <c r="AU49" s="15">
        <v>2700</v>
      </c>
      <c r="AV49" s="15">
        <v>5000</v>
      </c>
      <c r="AW49" s="15">
        <v>2300</v>
      </c>
      <c r="AX49" s="16">
        <f t="shared" si="8"/>
        <v>0.85185185185185186</v>
      </c>
      <c r="AY49" s="15">
        <v>66000</v>
      </c>
      <c r="AZ49" s="15">
        <v>31100</v>
      </c>
      <c r="BA49" s="15">
        <v>31100</v>
      </c>
      <c r="BB49" s="16">
        <f t="shared" si="9"/>
        <v>0.47121212121212119</v>
      </c>
      <c r="BC49" s="12"/>
    </row>
    <row r="50" spans="1:55" s="17" customFormat="1" ht="51" x14ac:dyDescent="0.25">
      <c r="B50" s="13">
        <v>45</v>
      </c>
      <c r="C50" s="13" t="s">
        <v>68</v>
      </c>
      <c r="D50" s="13" t="s">
        <v>277</v>
      </c>
      <c r="E50" s="13" t="s">
        <v>278</v>
      </c>
      <c r="F50" s="13" t="s">
        <v>279</v>
      </c>
      <c r="G50" s="13" t="s">
        <v>76</v>
      </c>
      <c r="H50" s="13" t="s">
        <v>121</v>
      </c>
      <c r="I50" s="13" t="s">
        <v>210</v>
      </c>
      <c r="J50" s="13" t="s">
        <v>214</v>
      </c>
      <c r="K50" s="13" t="s">
        <v>215</v>
      </c>
      <c r="L50" s="13" t="s">
        <v>216</v>
      </c>
      <c r="M50" s="13">
        <v>-12.489610672</v>
      </c>
      <c r="N50" s="13">
        <v>-74.62223815918</v>
      </c>
      <c r="O50" s="39">
        <v>3926</v>
      </c>
      <c r="P50" s="13">
        <v>1</v>
      </c>
      <c r="Q50" s="14">
        <v>15</v>
      </c>
      <c r="R50" s="14">
        <v>6</v>
      </c>
      <c r="S50" s="14">
        <v>9</v>
      </c>
      <c r="T50" s="14">
        <v>2</v>
      </c>
      <c r="U50" s="14">
        <v>5</v>
      </c>
      <c r="V50" s="14">
        <f>Tabla1[[#This Row],[Nº SOCIO JOVEN(M)]]+Tabla1[[#This Row],[Nº SOCIO JOVEN(F)]]</f>
        <v>7</v>
      </c>
      <c r="W50" s="14">
        <v>15</v>
      </c>
      <c r="X50" s="14">
        <v>6</v>
      </c>
      <c r="Y50" s="14">
        <v>9</v>
      </c>
      <c r="Z50" s="14">
        <v>2</v>
      </c>
      <c r="AA50" s="14">
        <v>5</v>
      </c>
      <c r="AB50" s="14">
        <f>Tabla1[[#This Row],[Nº FAMILIA JOVEN(M)]]+Tabla1[[#This Row],[Nº FAMILIA JOVEN(F)]]</f>
        <v>7</v>
      </c>
      <c r="AC50" s="52">
        <v>62800</v>
      </c>
      <c r="AD50" s="52">
        <v>26200</v>
      </c>
      <c r="AE50" s="45">
        <v>0</v>
      </c>
      <c r="AF50" s="52">
        <v>89293.25</v>
      </c>
      <c r="AG50" s="14" t="s">
        <v>63</v>
      </c>
      <c r="AH50" s="14">
        <v>68.5</v>
      </c>
      <c r="AI50" s="14">
        <v>300</v>
      </c>
      <c r="AJ50" s="15">
        <v>1500</v>
      </c>
      <c r="AK50" s="15">
        <v>1200</v>
      </c>
      <c r="AL50" s="16">
        <f t="shared" si="5"/>
        <v>4</v>
      </c>
      <c r="AM50" s="15">
        <v>3600</v>
      </c>
      <c r="AN50" s="15">
        <v>19500</v>
      </c>
      <c r="AO50" s="15">
        <v>15900</v>
      </c>
      <c r="AP50" s="16">
        <f t="shared" si="6"/>
        <v>4.416666666666667</v>
      </c>
      <c r="AQ50" s="14">
        <v>220</v>
      </c>
      <c r="AR50" s="15">
        <v>1440</v>
      </c>
      <c r="AS50" s="15">
        <v>1220</v>
      </c>
      <c r="AT50" s="16">
        <f t="shared" si="7"/>
        <v>5.5454545454545459</v>
      </c>
      <c r="AU50" s="15">
        <v>2640</v>
      </c>
      <c r="AV50" s="15">
        <v>18720</v>
      </c>
      <c r="AW50" s="15">
        <v>16080</v>
      </c>
      <c r="AX50" s="16">
        <f t="shared" si="8"/>
        <v>6.0909090909090908</v>
      </c>
      <c r="AY50" s="15">
        <v>103000</v>
      </c>
      <c r="AZ50" s="15">
        <v>60100</v>
      </c>
      <c r="BA50" s="15">
        <v>60100</v>
      </c>
      <c r="BB50" s="16">
        <f t="shared" si="9"/>
        <v>0.58349514563106797</v>
      </c>
      <c r="BC50" s="12"/>
    </row>
    <row r="51" spans="1:55" s="17" customFormat="1" ht="89.25" x14ac:dyDescent="0.25">
      <c r="B51" s="13">
        <v>46</v>
      </c>
      <c r="C51" s="13" t="s">
        <v>68</v>
      </c>
      <c r="D51" s="13" t="s">
        <v>163</v>
      </c>
      <c r="E51" s="13" t="s">
        <v>280</v>
      </c>
      <c r="F51" s="13" t="s">
        <v>281</v>
      </c>
      <c r="G51" s="13" t="s">
        <v>73</v>
      </c>
      <c r="H51" s="13" t="s">
        <v>142</v>
      </c>
      <c r="I51" s="13" t="s">
        <v>210</v>
      </c>
      <c r="J51" s="13" t="s">
        <v>219</v>
      </c>
      <c r="K51" s="13" t="s">
        <v>223</v>
      </c>
      <c r="L51" s="13" t="s">
        <v>223</v>
      </c>
      <c r="M51" s="13">
        <v>-12.259016036989999</v>
      </c>
      <c r="N51" s="13">
        <v>-75.070495605470001</v>
      </c>
      <c r="O51" s="39">
        <v>3800</v>
      </c>
      <c r="P51" s="13">
        <v>1</v>
      </c>
      <c r="Q51" s="14">
        <v>34</v>
      </c>
      <c r="R51" s="14">
        <v>22</v>
      </c>
      <c r="S51" s="14">
        <v>12</v>
      </c>
      <c r="T51" s="14">
        <v>2</v>
      </c>
      <c r="U51" s="14">
        <v>4</v>
      </c>
      <c r="V51" s="14">
        <f>Tabla1[[#This Row],[Nº SOCIO JOVEN(M)]]+Tabla1[[#This Row],[Nº SOCIO JOVEN(F)]]</f>
        <v>6</v>
      </c>
      <c r="W51" s="14">
        <v>34</v>
      </c>
      <c r="X51" s="14">
        <v>22</v>
      </c>
      <c r="Y51" s="14">
        <v>12</v>
      </c>
      <c r="Z51" s="14">
        <v>2</v>
      </c>
      <c r="AA51" s="14">
        <v>4</v>
      </c>
      <c r="AB51" s="14">
        <f>Tabla1[[#This Row],[Nº FAMILIA JOVEN(M)]]+Tabla1[[#This Row],[Nº FAMILIA JOVEN(F)]]</f>
        <v>6</v>
      </c>
      <c r="AC51" s="52">
        <v>44500</v>
      </c>
      <c r="AD51" s="52">
        <v>19255.900000000001</v>
      </c>
      <c r="AE51" s="45">
        <v>0</v>
      </c>
      <c r="AF51" s="52">
        <v>63976.76</v>
      </c>
      <c r="AG51" s="14" t="s">
        <v>61</v>
      </c>
      <c r="AH51" s="14">
        <v>70.5</v>
      </c>
      <c r="AI51" s="15">
        <v>16000</v>
      </c>
      <c r="AJ51" s="15">
        <v>18300</v>
      </c>
      <c r="AK51" s="15">
        <v>2300</v>
      </c>
      <c r="AL51" s="16">
        <f t="shared" si="5"/>
        <v>0.14374999999999999</v>
      </c>
      <c r="AM51" s="15">
        <v>19200</v>
      </c>
      <c r="AN51" s="15">
        <v>25620</v>
      </c>
      <c r="AO51" s="15">
        <v>6420</v>
      </c>
      <c r="AP51" s="16">
        <f t="shared" si="6"/>
        <v>0.33437499999999998</v>
      </c>
      <c r="AQ51" s="15">
        <v>14900</v>
      </c>
      <c r="AR51" s="15">
        <v>17030</v>
      </c>
      <c r="AS51" s="15">
        <v>2130</v>
      </c>
      <c r="AT51" s="16">
        <f t="shared" si="7"/>
        <v>0.1429530201342282</v>
      </c>
      <c r="AU51" s="15">
        <v>17880</v>
      </c>
      <c r="AV51" s="15">
        <v>23842</v>
      </c>
      <c r="AW51" s="15">
        <v>5962</v>
      </c>
      <c r="AX51" s="16">
        <f t="shared" si="8"/>
        <v>0.33344519015659957</v>
      </c>
      <c r="AY51" s="15">
        <v>73000</v>
      </c>
      <c r="AZ51" s="15">
        <v>30388</v>
      </c>
      <c r="BA51" s="15">
        <v>30388</v>
      </c>
      <c r="BB51" s="16">
        <f t="shared" si="9"/>
        <v>0.41627397260273974</v>
      </c>
      <c r="BC51" s="12"/>
    </row>
    <row r="52" spans="1:55" s="17" customFormat="1" ht="89.25" x14ac:dyDescent="0.25">
      <c r="B52" s="13">
        <v>47</v>
      </c>
      <c r="C52" s="13" t="s">
        <v>68</v>
      </c>
      <c r="D52" s="13" t="s">
        <v>164</v>
      </c>
      <c r="E52" s="13" t="s">
        <v>282</v>
      </c>
      <c r="F52" s="13" t="s">
        <v>283</v>
      </c>
      <c r="G52" s="13" t="s">
        <v>71</v>
      </c>
      <c r="H52" s="13" t="s">
        <v>77</v>
      </c>
      <c r="I52" s="13" t="s">
        <v>210</v>
      </c>
      <c r="J52" s="13" t="s">
        <v>219</v>
      </c>
      <c r="K52" s="13" t="s">
        <v>267</v>
      </c>
      <c r="L52" s="13" t="s">
        <v>267</v>
      </c>
      <c r="M52" s="13">
        <v>-12.36531734467</v>
      </c>
      <c r="N52" s="13">
        <v>-75.054794311519998</v>
      </c>
      <c r="O52" s="39">
        <v>3604</v>
      </c>
      <c r="P52" s="13">
        <v>1</v>
      </c>
      <c r="Q52" s="14">
        <v>20</v>
      </c>
      <c r="R52" s="14">
        <v>11</v>
      </c>
      <c r="S52" s="14">
        <v>9</v>
      </c>
      <c r="T52" s="14">
        <v>2</v>
      </c>
      <c r="U52" s="14">
        <v>2</v>
      </c>
      <c r="V52" s="14">
        <f>Tabla1[[#This Row],[Nº SOCIO JOVEN(M)]]+Tabla1[[#This Row],[Nº SOCIO JOVEN(F)]]</f>
        <v>4</v>
      </c>
      <c r="W52" s="14">
        <v>20</v>
      </c>
      <c r="X52" s="14">
        <v>11</v>
      </c>
      <c r="Y52" s="14">
        <v>9</v>
      </c>
      <c r="Z52" s="14">
        <v>2</v>
      </c>
      <c r="AA52" s="14">
        <v>2</v>
      </c>
      <c r="AB52" s="14">
        <f>Tabla1[[#This Row],[Nº FAMILIA JOVEN(M)]]+Tabla1[[#This Row],[Nº FAMILIA JOVEN(F)]]</f>
        <v>4</v>
      </c>
      <c r="AC52" s="52">
        <v>45200</v>
      </c>
      <c r="AD52" s="52">
        <v>20706</v>
      </c>
      <c r="AE52" s="45">
        <v>0</v>
      </c>
      <c r="AF52" s="52">
        <v>66116.95</v>
      </c>
      <c r="AG52" s="14" t="s">
        <v>88</v>
      </c>
      <c r="AH52" s="14">
        <v>81</v>
      </c>
      <c r="AI52" s="14">
        <v>750</v>
      </c>
      <c r="AJ52" s="15">
        <v>1750</v>
      </c>
      <c r="AK52" s="15">
        <v>1000</v>
      </c>
      <c r="AL52" s="16">
        <f t="shared" si="5"/>
        <v>1.3333333333333333</v>
      </c>
      <c r="AM52" s="15">
        <v>3000</v>
      </c>
      <c r="AN52" s="15">
        <v>14000</v>
      </c>
      <c r="AO52" s="15">
        <v>11000</v>
      </c>
      <c r="AP52" s="16">
        <f t="shared" si="6"/>
        <v>3.6666666666666665</v>
      </c>
      <c r="AQ52" s="14">
        <v>675</v>
      </c>
      <c r="AR52" s="15">
        <v>1750</v>
      </c>
      <c r="AS52" s="15">
        <v>1075</v>
      </c>
      <c r="AT52" s="16">
        <f t="shared" si="7"/>
        <v>1.5925925925925926</v>
      </c>
      <c r="AU52" s="15">
        <v>2700</v>
      </c>
      <c r="AV52" s="15">
        <v>14000</v>
      </c>
      <c r="AW52" s="15">
        <v>11300</v>
      </c>
      <c r="AX52" s="16">
        <f t="shared" si="8"/>
        <v>4.1851851851851851</v>
      </c>
      <c r="AY52" s="15">
        <v>39900</v>
      </c>
      <c r="AZ52" s="15">
        <v>43200</v>
      </c>
      <c r="BA52" s="15">
        <v>43200</v>
      </c>
      <c r="BB52" s="16">
        <f t="shared" si="9"/>
        <v>1.0827067669172932</v>
      </c>
      <c r="BC52" s="12"/>
    </row>
    <row r="53" spans="1:55" s="17" customFormat="1" ht="102" x14ac:dyDescent="0.25">
      <c r="B53" s="13">
        <v>48</v>
      </c>
      <c r="C53" s="13" t="s">
        <v>68</v>
      </c>
      <c r="D53" s="13" t="s">
        <v>165</v>
      </c>
      <c r="E53" s="13" t="s">
        <v>284</v>
      </c>
      <c r="F53" s="13" t="s">
        <v>285</v>
      </c>
      <c r="G53" s="13" t="s">
        <v>71</v>
      </c>
      <c r="H53" s="13" t="s">
        <v>141</v>
      </c>
      <c r="I53" s="13" t="s">
        <v>210</v>
      </c>
      <c r="J53" s="13" t="s">
        <v>214</v>
      </c>
      <c r="K53" s="13" t="s">
        <v>286</v>
      </c>
      <c r="L53" s="13" t="s">
        <v>287</v>
      </c>
      <c r="M53" s="13">
        <v>-12.547144889829999</v>
      </c>
      <c r="N53" s="13">
        <v>-74.52742767334</v>
      </c>
      <c r="O53" s="39">
        <v>3428</v>
      </c>
      <c r="P53" s="13">
        <v>1</v>
      </c>
      <c r="Q53" s="14">
        <v>21</v>
      </c>
      <c r="R53" s="14">
        <v>11</v>
      </c>
      <c r="S53" s="14">
        <v>10</v>
      </c>
      <c r="T53" s="14">
        <v>2</v>
      </c>
      <c r="U53" s="14">
        <v>1</v>
      </c>
      <c r="V53" s="14">
        <f>Tabla1[[#This Row],[Nº SOCIO JOVEN(M)]]+Tabla1[[#This Row],[Nº SOCIO JOVEN(F)]]</f>
        <v>3</v>
      </c>
      <c r="W53" s="14">
        <v>21</v>
      </c>
      <c r="X53" s="14">
        <v>11</v>
      </c>
      <c r="Y53" s="14">
        <v>10</v>
      </c>
      <c r="Z53" s="14">
        <v>2</v>
      </c>
      <c r="AA53" s="14">
        <v>1</v>
      </c>
      <c r="AB53" s="14">
        <f>Tabla1[[#This Row],[Nº FAMILIA JOVEN(M)]]+Tabla1[[#This Row],[Nº FAMILIA JOVEN(F)]]</f>
        <v>3</v>
      </c>
      <c r="AC53" s="52">
        <v>42300</v>
      </c>
      <c r="AD53" s="52">
        <v>17950</v>
      </c>
      <c r="AE53" s="45">
        <v>0</v>
      </c>
      <c r="AF53" s="52">
        <v>60492.5</v>
      </c>
      <c r="AG53" s="14" t="s">
        <v>63</v>
      </c>
      <c r="AH53" s="14">
        <v>69.5</v>
      </c>
      <c r="AI53" s="14">
        <v>300</v>
      </c>
      <c r="AJ53" s="14">
        <v>600</v>
      </c>
      <c r="AK53" s="14">
        <v>300</v>
      </c>
      <c r="AL53" s="16">
        <f t="shared" si="5"/>
        <v>1</v>
      </c>
      <c r="AM53" s="15">
        <v>3600</v>
      </c>
      <c r="AN53" s="15">
        <v>9000</v>
      </c>
      <c r="AO53" s="15">
        <v>5400</v>
      </c>
      <c r="AP53" s="16">
        <f t="shared" si="6"/>
        <v>1.5</v>
      </c>
      <c r="AQ53" s="14">
        <v>300</v>
      </c>
      <c r="AR53" s="14">
        <v>550</v>
      </c>
      <c r="AS53" s="14">
        <v>250</v>
      </c>
      <c r="AT53" s="16">
        <f t="shared" si="7"/>
        <v>0.83333333333333337</v>
      </c>
      <c r="AU53" s="15">
        <v>3600</v>
      </c>
      <c r="AV53" s="15">
        <v>8250</v>
      </c>
      <c r="AW53" s="15">
        <v>4650</v>
      </c>
      <c r="AX53" s="16">
        <f t="shared" si="8"/>
        <v>1.2916666666666667</v>
      </c>
      <c r="AY53" s="15">
        <v>43000</v>
      </c>
      <c r="AZ53" s="15">
        <v>38145</v>
      </c>
      <c r="BA53" s="15">
        <v>38145</v>
      </c>
      <c r="BB53" s="16">
        <f t="shared" si="9"/>
        <v>0.88709302325581396</v>
      </c>
      <c r="BC53" s="12"/>
    </row>
    <row r="54" spans="1:55" s="17" customFormat="1" ht="76.5" x14ac:dyDescent="0.25">
      <c r="B54" s="13">
        <v>49</v>
      </c>
      <c r="C54" s="13" t="s">
        <v>68</v>
      </c>
      <c r="D54" s="13" t="s">
        <v>166</v>
      </c>
      <c r="E54" s="13" t="s">
        <v>288</v>
      </c>
      <c r="F54" s="13" t="s">
        <v>289</v>
      </c>
      <c r="G54" s="13" t="s">
        <v>69</v>
      </c>
      <c r="H54" s="13" t="s">
        <v>143</v>
      </c>
      <c r="I54" s="13" t="s">
        <v>210</v>
      </c>
      <c r="J54" s="13" t="s">
        <v>214</v>
      </c>
      <c r="K54" s="13" t="s">
        <v>286</v>
      </c>
      <c r="L54" s="13" t="s">
        <v>290</v>
      </c>
      <c r="M54" s="13">
        <v>-12.540030479429999</v>
      </c>
      <c r="N54" s="13">
        <v>-74.544479370120001</v>
      </c>
      <c r="O54" s="39">
        <v>3150</v>
      </c>
      <c r="P54" s="13">
        <v>1</v>
      </c>
      <c r="Q54" s="14">
        <v>30</v>
      </c>
      <c r="R54" s="14">
        <v>13</v>
      </c>
      <c r="S54" s="14">
        <v>17</v>
      </c>
      <c r="T54" s="14">
        <v>3</v>
      </c>
      <c r="U54" s="14">
        <v>5</v>
      </c>
      <c r="V54" s="14">
        <f>Tabla1[[#This Row],[Nº SOCIO JOVEN(M)]]+Tabla1[[#This Row],[Nº SOCIO JOVEN(F)]]</f>
        <v>8</v>
      </c>
      <c r="W54" s="14">
        <v>30</v>
      </c>
      <c r="X54" s="14">
        <v>13</v>
      </c>
      <c r="Y54" s="14">
        <v>17</v>
      </c>
      <c r="Z54" s="14">
        <v>3</v>
      </c>
      <c r="AA54" s="14">
        <v>5</v>
      </c>
      <c r="AB54" s="14">
        <f>Tabla1[[#This Row],[Nº FAMILIA JOVEN(M)]]+Tabla1[[#This Row],[Nº FAMILIA JOVEN(F)]]</f>
        <v>8</v>
      </c>
      <c r="AC54" s="52">
        <v>79600</v>
      </c>
      <c r="AD54" s="52">
        <v>33400</v>
      </c>
      <c r="AE54" s="45">
        <v>0</v>
      </c>
      <c r="AF54" s="52">
        <v>113419.48</v>
      </c>
      <c r="AG54" s="14" t="s">
        <v>61</v>
      </c>
      <c r="AH54" s="14">
        <v>76.599999999999994</v>
      </c>
      <c r="AI54" s="15">
        <v>5000</v>
      </c>
      <c r="AJ54" s="15">
        <v>9000</v>
      </c>
      <c r="AK54" s="15">
        <v>4000</v>
      </c>
      <c r="AL54" s="16">
        <f t="shared" si="5"/>
        <v>0.8</v>
      </c>
      <c r="AM54" s="15">
        <v>7500</v>
      </c>
      <c r="AN54" s="15">
        <v>18000</v>
      </c>
      <c r="AO54" s="15">
        <v>10500</v>
      </c>
      <c r="AP54" s="16">
        <f t="shared" si="6"/>
        <v>1.4</v>
      </c>
      <c r="AQ54" s="15">
        <v>4500</v>
      </c>
      <c r="AR54" s="15">
        <v>9000</v>
      </c>
      <c r="AS54" s="15">
        <v>4500</v>
      </c>
      <c r="AT54" s="16">
        <f t="shared" si="7"/>
        <v>1</v>
      </c>
      <c r="AU54" s="15">
        <v>6750</v>
      </c>
      <c r="AV54" s="15">
        <v>18000</v>
      </c>
      <c r="AW54" s="15">
        <v>11250</v>
      </c>
      <c r="AX54" s="16">
        <f t="shared" si="8"/>
        <v>1.6666666666666667</v>
      </c>
      <c r="AY54" s="15">
        <v>76080</v>
      </c>
      <c r="AZ54" s="15">
        <v>75200</v>
      </c>
      <c r="BA54" s="15">
        <v>75200</v>
      </c>
      <c r="BB54" s="16">
        <f t="shared" si="9"/>
        <v>0.98843322818086221</v>
      </c>
      <c r="BC54" s="12"/>
    </row>
    <row r="55" spans="1:55" s="17" customFormat="1" ht="51" x14ac:dyDescent="0.25">
      <c r="B55" s="13">
        <v>50</v>
      </c>
      <c r="C55" s="13" t="s">
        <v>68</v>
      </c>
      <c r="D55" s="13" t="s">
        <v>167</v>
      </c>
      <c r="E55" s="13" t="s">
        <v>291</v>
      </c>
      <c r="F55" s="13" t="s">
        <v>292</v>
      </c>
      <c r="G55" s="13" t="s">
        <v>69</v>
      </c>
      <c r="H55" s="13" t="s">
        <v>143</v>
      </c>
      <c r="I55" s="13" t="s">
        <v>210</v>
      </c>
      <c r="J55" s="13" t="s">
        <v>219</v>
      </c>
      <c r="K55" s="13" t="s">
        <v>106</v>
      </c>
      <c r="L55" s="13" t="s">
        <v>233</v>
      </c>
      <c r="M55" s="13">
        <v>-12.23454380035</v>
      </c>
      <c r="N55" s="13">
        <v>-74.939254760739999</v>
      </c>
      <c r="O55" s="39">
        <v>3273</v>
      </c>
      <c r="P55" s="13">
        <v>1</v>
      </c>
      <c r="Q55" s="14">
        <v>31</v>
      </c>
      <c r="R55" s="14">
        <v>18</v>
      </c>
      <c r="S55" s="14">
        <v>13</v>
      </c>
      <c r="T55" s="14">
        <v>2</v>
      </c>
      <c r="U55" s="14">
        <v>4</v>
      </c>
      <c r="V55" s="14">
        <f>Tabla1[[#This Row],[Nº SOCIO JOVEN(M)]]+Tabla1[[#This Row],[Nº SOCIO JOVEN(F)]]</f>
        <v>6</v>
      </c>
      <c r="W55" s="14">
        <v>11</v>
      </c>
      <c r="X55" s="14">
        <v>10</v>
      </c>
      <c r="Y55" s="14">
        <v>1</v>
      </c>
      <c r="Z55" s="14">
        <v>0</v>
      </c>
      <c r="AA55" s="14">
        <v>1</v>
      </c>
      <c r="AB55" s="14">
        <f>Tabla1[[#This Row],[Nº FAMILIA JOVEN(M)]]+Tabla1[[#This Row],[Nº FAMILIA JOVEN(F)]]</f>
        <v>1</v>
      </c>
      <c r="AC55" s="52">
        <v>61300</v>
      </c>
      <c r="AD55" s="52">
        <v>25800</v>
      </c>
      <c r="AE55" s="45">
        <v>0</v>
      </c>
      <c r="AF55" s="52">
        <v>87388.01</v>
      </c>
      <c r="AG55" s="14" t="s">
        <v>61</v>
      </c>
      <c r="AH55" s="14">
        <v>70.5</v>
      </c>
      <c r="AI55" s="15">
        <v>2500</v>
      </c>
      <c r="AJ55" s="15">
        <v>3200</v>
      </c>
      <c r="AK55" s="14">
        <v>700</v>
      </c>
      <c r="AL55" s="16">
        <f t="shared" si="5"/>
        <v>0.28000000000000003</v>
      </c>
      <c r="AM55" s="15">
        <v>6250</v>
      </c>
      <c r="AN55" s="15">
        <v>9600</v>
      </c>
      <c r="AO55" s="15">
        <v>3350</v>
      </c>
      <c r="AP55" s="16">
        <f t="shared" si="6"/>
        <v>0.53600000000000003</v>
      </c>
      <c r="AQ55" s="15">
        <v>2000</v>
      </c>
      <c r="AR55" s="15">
        <v>3000</v>
      </c>
      <c r="AS55" s="15">
        <v>1000</v>
      </c>
      <c r="AT55" s="16">
        <f t="shared" si="7"/>
        <v>0.5</v>
      </c>
      <c r="AU55" s="15">
        <v>5000</v>
      </c>
      <c r="AV55" s="15">
        <v>9000</v>
      </c>
      <c r="AW55" s="15">
        <v>4000</v>
      </c>
      <c r="AX55" s="16">
        <f t="shared" si="8"/>
        <v>0.8</v>
      </c>
      <c r="AY55" s="15">
        <v>30000</v>
      </c>
      <c r="AZ55" s="15">
        <v>28800</v>
      </c>
      <c r="BA55" s="15">
        <v>28800</v>
      </c>
      <c r="BB55" s="16">
        <f t="shared" si="9"/>
        <v>0.96</v>
      </c>
      <c r="BC55" s="12"/>
    </row>
    <row r="56" spans="1:55" s="17" customFormat="1" ht="38.25" x14ac:dyDescent="0.25">
      <c r="B56" s="13">
        <v>51</v>
      </c>
      <c r="C56" s="13" t="s">
        <v>68</v>
      </c>
      <c r="D56" s="13" t="s">
        <v>293</v>
      </c>
      <c r="E56" s="13" t="s">
        <v>294</v>
      </c>
      <c r="F56" s="13" t="s">
        <v>295</v>
      </c>
      <c r="G56" s="13" t="s">
        <v>76</v>
      </c>
      <c r="H56" s="13" t="s">
        <v>121</v>
      </c>
      <c r="I56" s="13" t="s">
        <v>210</v>
      </c>
      <c r="J56" s="13" t="s">
        <v>214</v>
      </c>
      <c r="K56" s="13" t="s">
        <v>286</v>
      </c>
      <c r="L56" s="13" t="s">
        <v>286</v>
      </c>
      <c r="M56" s="13">
        <v>-12.553586959840001</v>
      </c>
      <c r="N56" s="13">
        <v>-74.52986907959</v>
      </c>
      <c r="O56" s="39">
        <v>3381</v>
      </c>
      <c r="P56" s="13">
        <v>1</v>
      </c>
      <c r="Q56" s="14">
        <v>25</v>
      </c>
      <c r="R56" s="14">
        <v>10</v>
      </c>
      <c r="S56" s="14">
        <v>15</v>
      </c>
      <c r="T56" s="14">
        <v>2</v>
      </c>
      <c r="U56" s="14">
        <v>1</v>
      </c>
      <c r="V56" s="14">
        <f>Tabla1[[#This Row],[Nº SOCIO JOVEN(M)]]+Tabla1[[#This Row],[Nº SOCIO JOVEN(F)]]</f>
        <v>3</v>
      </c>
      <c r="W56" s="14">
        <v>25</v>
      </c>
      <c r="X56" s="14">
        <v>10</v>
      </c>
      <c r="Y56" s="14">
        <v>15</v>
      </c>
      <c r="Z56" s="14">
        <v>2</v>
      </c>
      <c r="AA56" s="14">
        <v>1</v>
      </c>
      <c r="AB56" s="14">
        <f>Tabla1[[#This Row],[Nº FAMILIA JOVEN(M)]]+Tabla1[[#This Row],[Nº FAMILIA JOVEN(F)]]</f>
        <v>3</v>
      </c>
      <c r="AC56" s="52">
        <v>61300</v>
      </c>
      <c r="AD56" s="52">
        <v>25950</v>
      </c>
      <c r="AE56" s="45">
        <v>0</v>
      </c>
      <c r="AF56" s="52">
        <v>87615.09</v>
      </c>
      <c r="AG56" s="14" t="s">
        <v>63</v>
      </c>
      <c r="AH56" s="14">
        <v>68.5</v>
      </c>
      <c r="AI56" s="14">
        <v>280</v>
      </c>
      <c r="AJ56" s="14">
        <v>580</v>
      </c>
      <c r="AK56" s="14">
        <v>300</v>
      </c>
      <c r="AL56" s="16">
        <f t="shared" si="5"/>
        <v>1.0714285714285714</v>
      </c>
      <c r="AM56" s="15">
        <v>3360</v>
      </c>
      <c r="AN56" s="15">
        <v>8120</v>
      </c>
      <c r="AO56" s="15">
        <v>4760</v>
      </c>
      <c r="AP56" s="16">
        <f t="shared" si="6"/>
        <v>1.4166666666666667</v>
      </c>
      <c r="AQ56" s="14">
        <v>260</v>
      </c>
      <c r="AR56" s="14">
        <v>520</v>
      </c>
      <c r="AS56" s="14">
        <v>260</v>
      </c>
      <c r="AT56" s="16">
        <f t="shared" si="7"/>
        <v>1</v>
      </c>
      <c r="AU56" s="15">
        <v>3120</v>
      </c>
      <c r="AV56" s="15">
        <v>7280</v>
      </c>
      <c r="AW56" s="15">
        <v>4160</v>
      </c>
      <c r="AX56" s="16">
        <f t="shared" si="8"/>
        <v>1.3333333333333333</v>
      </c>
      <c r="AY56" s="15">
        <v>54800</v>
      </c>
      <c r="AZ56" s="15">
        <v>53730</v>
      </c>
      <c r="BA56" s="15">
        <v>53730</v>
      </c>
      <c r="BB56" s="16">
        <f t="shared" si="9"/>
        <v>0.98047445255474452</v>
      </c>
      <c r="BC56" s="12"/>
    </row>
    <row r="57" spans="1:55" s="17" customFormat="1" ht="38.25" x14ac:dyDescent="0.25">
      <c r="B57" s="13">
        <v>52</v>
      </c>
      <c r="C57" s="13" t="s">
        <v>68</v>
      </c>
      <c r="D57" s="13" t="s">
        <v>296</v>
      </c>
      <c r="E57" s="13" t="s">
        <v>297</v>
      </c>
      <c r="F57" s="13" t="s">
        <v>298</v>
      </c>
      <c r="G57" s="13" t="s">
        <v>76</v>
      </c>
      <c r="H57" s="13" t="s">
        <v>121</v>
      </c>
      <c r="I57" s="13" t="s">
        <v>210</v>
      </c>
      <c r="J57" s="13" t="s">
        <v>219</v>
      </c>
      <c r="K57" s="13" t="s">
        <v>299</v>
      </c>
      <c r="L57" s="13" t="s">
        <v>187</v>
      </c>
      <c r="M57" s="13">
        <v>-12.40627670288</v>
      </c>
      <c r="N57" s="13">
        <v>-74.91310119629</v>
      </c>
      <c r="O57" s="39">
        <v>3268</v>
      </c>
      <c r="P57" s="13">
        <v>1</v>
      </c>
      <c r="Q57" s="14">
        <v>21</v>
      </c>
      <c r="R57" s="14">
        <v>11</v>
      </c>
      <c r="S57" s="14">
        <v>10</v>
      </c>
      <c r="T57" s="14">
        <v>4</v>
      </c>
      <c r="U57" s="14">
        <v>4</v>
      </c>
      <c r="V57" s="14">
        <f>Tabla1[[#This Row],[Nº SOCIO JOVEN(M)]]+Tabla1[[#This Row],[Nº SOCIO JOVEN(F)]]</f>
        <v>8</v>
      </c>
      <c r="W57" s="14">
        <v>21</v>
      </c>
      <c r="X57" s="14">
        <v>11</v>
      </c>
      <c r="Y57" s="14">
        <v>10</v>
      </c>
      <c r="Z57" s="14">
        <v>4</v>
      </c>
      <c r="AA57" s="14">
        <v>4</v>
      </c>
      <c r="AB57" s="14">
        <f>Tabla1[[#This Row],[Nº FAMILIA JOVEN(M)]]+Tabla1[[#This Row],[Nº FAMILIA JOVEN(F)]]</f>
        <v>8</v>
      </c>
      <c r="AC57" s="52">
        <v>59900</v>
      </c>
      <c r="AD57" s="52">
        <v>28260</v>
      </c>
      <c r="AE57" s="45">
        <v>0</v>
      </c>
      <c r="AF57" s="52">
        <v>88441.11</v>
      </c>
      <c r="AG57" s="14" t="s">
        <v>88</v>
      </c>
      <c r="AH57" s="14">
        <v>81</v>
      </c>
      <c r="AI57" s="15">
        <v>3000</v>
      </c>
      <c r="AJ57" s="15">
        <v>6200</v>
      </c>
      <c r="AK57" s="15">
        <v>3200</v>
      </c>
      <c r="AL57" s="16">
        <f t="shared" si="5"/>
        <v>1.0666666666666667</v>
      </c>
      <c r="AM57" s="15">
        <v>36000</v>
      </c>
      <c r="AN57" s="15">
        <v>93000</v>
      </c>
      <c r="AO57" s="15">
        <v>57000</v>
      </c>
      <c r="AP57" s="16">
        <f t="shared" si="6"/>
        <v>1.5833333333333333</v>
      </c>
      <c r="AQ57" s="15">
        <v>2600</v>
      </c>
      <c r="AR57" s="15">
        <v>6000</v>
      </c>
      <c r="AS57" s="15">
        <v>3400</v>
      </c>
      <c r="AT57" s="16">
        <f t="shared" si="7"/>
        <v>1.3076923076923077</v>
      </c>
      <c r="AU57" s="15">
        <v>31200</v>
      </c>
      <c r="AV57" s="15">
        <v>90000</v>
      </c>
      <c r="AW57" s="15">
        <v>58800</v>
      </c>
      <c r="AX57" s="16">
        <f t="shared" si="8"/>
        <v>1.8846153846153846</v>
      </c>
      <c r="AY57" s="15">
        <v>55300</v>
      </c>
      <c r="AZ57" s="15">
        <v>53500</v>
      </c>
      <c r="BA57" s="15">
        <v>53500</v>
      </c>
      <c r="BB57" s="16">
        <f t="shared" si="9"/>
        <v>0.96745027124773963</v>
      </c>
      <c r="BC57" s="12"/>
    </row>
    <row r="58" spans="1:55" s="17" customFormat="1" ht="38.25" x14ac:dyDescent="0.25">
      <c r="B58" s="13">
        <v>53</v>
      </c>
      <c r="C58" s="13" t="s">
        <v>68</v>
      </c>
      <c r="D58" s="13" t="s">
        <v>300</v>
      </c>
      <c r="E58" s="13" t="s">
        <v>301</v>
      </c>
      <c r="F58" s="13" t="s">
        <v>302</v>
      </c>
      <c r="G58" s="13" t="s">
        <v>76</v>
      </c>
      <c r="H58" s="13" t="s">
        <v>121</v>
      </c>
      <c r="I58" s="13" t="s">
        <v>210</v>
      </c>
      <c r="J58" s="13" t="s">
        <v>214</v>
      </c>
      <c r="K58" s="13" t="s">
        <v>286</v>
      </c>
      <c r="L58" s="13" t="s">
        <v>303</v>
      </c>
      <c r="M58" s="13">
        <v>-12.567100524900001</v>
      </c>
      <c r="N58" s="13">
        <v>-74.511344909670001</v>
      </c>
      <c r="O58" s="39">
        <v>3742</v>
      </c>
      <c r="P58" s="13">
        <v>1</v>
      </c>
      <c r="Q58" s="14">
        <v>23</v>
      </c>
      <c r="R58" s="14">
        <v>16</v>
      </c>
      <c r="S58" s="14">
        <v>7</v>
      </c>
      <c r="T58" s="14">
        <v>0</v>
      </c>
      <c r="U58" s="14">
        <v>1</v>
      </c>
      <c r="V58" s="14">
        <f>Tabla1[[#This Row],[Nº SOCIO JOVEN(M)]]+Tabla1[[#This Row],[Nº SOCIO JOVEN(F)]]</f>
        <v>1</v>
      </c>
      <c r="W58" s="14">
        <v>23</v>
      </c>
      <c r="X58" s="14">
        <v>16</v>
      </c>
      <c r="Y58" s="14">
        <v>7</v>
      </c>
      <c r="Z58" s="14">
        <v>0</v>
      </c>
      <c r="AA58" s="14">
        <v>1</v>
      </c>
      <c r="AB58" s="14">
        <f>Tabla1[[#This Row],[Nº FAMILIA JOVEN(M)]]+Tabla1[[#This Row],[Nº FAMILIA JOVEN(F)]]</f>
        <v>1</v>
      </c>
      <c r="AC58" s="51">
        <v>61300</v>
      </c>
      <c r="AD58" s="51">
        <v>25950</v>
      </c>
      <c r="AE58" s="50">
        <v>0</v>
      </c>
      <c r="AF58" s="51">
        <v>87660.85</v>
      </c>
      <c r="AG58" s="14" t="s">
        <v>61</v>
      </c>
      <c r="AH58" s="14">
        <v>70</v>
      </c>
      <c r="AI58" s="14">
        <v>200</v>
      </c>
      <c r="AJ58" s="14">
        <v>500</v>
      </c>
      <c r="AK58" s="14">
        <v>300</v>
      </c>
      <c r="AL58" s="16">
        <f t="shared" si="5"/>
        <v>1.5</v>
      </c>
      <c r="AM58" s="15">
        <v>2400</v>
      </c>
      <c r="AN58" s="15">
        <v>7500</v>
      </c>
      <c r="AO58" s="15">
        <v>5100</v>
      </c>
      <c r="AP58" s="16">
        <f t="shared" si="6"/>
        <v>2.125</v>
      </c>
      <c r="AQ58" s="14">
        <v>200</v>
      </c>
      <c r="AR58" s="14">
        <v>450</v>
      </c>
      <c r="AS58" s="14">
        <v>250</v>
      </c>
      <c r="AT58" s="16">
        <f t="shared" si="7"/>
        <v>1.25</v>
      </c>
      <c r="AU58" s="15">
        <v>2400</v>
      </c>
      <c r="AV58" s="15">
        <v>6750</v>
      </c>
      <c r="AW58" s="15">
        <v>4350</v>
      </c>
      <c r="AX58" s="16">
        <f t="shared" si="8"/>
        <v>1.8125</v>
      </c>
      <c r="AY58" s="15">
        <v>62600</v>
      </c>
      <c r="AZ58" s="15">
        <v>58583</v>
      </c>
      <c r="BA58" s="15">
        <v>58583</v>
      </c>
      <c r="BB58" s="16">
        <f t="shared" si="9"/>
        <v>0.93583067092651762</v>
      </c>
      <c r="BC58" s="12"/>
    </row>
    <row r="59" spans="1:55" s="17" customFormat="1" x14ac:dyDescent="0.25">
      <c r="B59" s="13"/>
      <c r="C59" s="13"/>
      <c r="D59" s="13"/>
      <c r="E59" s="13"/>
      <c r="F59" s="13"/>
      <c r="G59" s="13"/>
      <c r="H59" s="13"/>
      <c r="I59" s="13"/>
      <c r="J59" s="13"/>
      <c r="K59" s="13"/>
      <c r="L59" s="13"/>
      <c r="M59" s="13"/>
      <c r="N59" s="13"/>
      <c r="P59" s="13"/>
      <c r="Q59" s="14"/>
      <c r="R59" s="14"/>
      <c r="S59" s="14"/>
      <c r="T59" s="14"/>
      <c r="U59" s="14"/>
      <c r="V59" s="18"/>
      <c r="W59" s="53">
        <f>SUBTOTAL(109,Tabla1[FAMILIAS])</f>
        <v>795</v>
      </c>
      <c r="X59" s="53">
        <f>SUBTOTAL(109,Tabla1[Nº FAMILIAS(M)])</f>
        <v>504</v>
      </c>
      <c r="Y59" s="53">
        <f>SUBTOTAL(109,Tabla1[Nº FAMILIAS(F)])</f>
        <v>291</v>
      </c>
      <c r="Z59" s="53">
        <f>SUBTOTAL(109,Tabla1[Nº FAMILIAS(M)])</f>
        <v>504</v>
      </c>
      <c r="AA59" s="53">
        <f>SUBTOTAL(109,Tabla1[Nº FAMILIAS(F)])</f>
        <v>291</v>
      </c>
      <c r="AB59" s="53">
        <f>SUBTOTAL(109,Tabla1[Nº FAMILIA JOVEN(M)])</f>
        <v>65</v>
      </c>
      <c r="AC59" s="53"/>
      <c r="AD59" s="53"/>
      <c r="AE59" s="53"/>
      <c r="AF59" s="53"/>
      <c r="AG59" s="53"/>
      <c r="AH59" s="53"/>
      <c r="AI59" s="53">
        <f>SUBTOTAL(109,Tabla1[Sin proyecto])</f>
        <v>395846</v>
      </c>
      <c r="AJ59" s="53">
        <f>SUBTOTAL(109,Tabla1[Con proyecto])</f>
        <v>597437</v>
      </c>
      <c r="AK59" s="53">
        <f>SUBTOTAL(109,Tabla1[Incremento])</f>
        <v>201591</v>
      </c>
      <c r="AL59" s="16">
        <f>Tabla1[[#Totals],[Incremento]]/Tabla1[[#Totals],[Sin proyecto]]</f>
        <v>0.50926622979643599</v>
      </c>
      <c r="AM59" s="53">
        <f>SUBTOTAL(109,Tabla1[Sin proyecto2])</f>
        <v>1000880</v>
      </c>
      <c r="AN59" s="53">
        <f>SUBTOTAL(109,Tabla1[Con proyecto3])</f>
        <v>1741339</v>
      </c>
      <c r="AO59" s="53">
        <f>SUBTOTAL(109,Tabla1[Incremento (S/)])</f>
        <v>740459</v>
      </c>
      <c r="AP59" s="16">
        <f>Tabla1[[#Totals],[Incremento (S/)]]/Tabla1[[#Totals],[Sin proyecto2]]</f>
        <v>0.73980796898729118</v>
      </c>
      <c r="AQ59" s="53">
        <f>SUBTOTAL(109,Tabla1[Sin proyecto5])</f>
        <v>360363</v>
      </c>
      <c r="AR59" s="53">
        <f>SUBTOTAL(109,Tabla1[Con proyecto6])</f>
        <v>553168</v>
      </c>
      <c r="AS59" s="53">
        <f>SUBTOTAL(109,Tabla1[Incremento (S/)7])</f>
        <v>192805</v>
      </c>
      <c r="AT59" s="16">
        <f>Tabla1[[#Totals],[Incremento (S/)7]]/Tabla1[[#Totals],[Sin proyecto5]]</f>
        <v>0.53502995590557301</v>
      </c>
      <c r="AU59" s="53">
        <f>SUBTOTAL(109,Tabla1[Sin proyecto9])</f>
        <v>874966</v>
      </c>
      <c r="AV59" s="53">
        <f>SUBTOTAL(109,Tabla1[Con proyecto10])</f>
        <v>1549275</v>
      </c>
      <c r="AW59" s="53">
        <f>SUBTOTAL(109,Tabla1[Incremento (S/)11])</f>
        <v>674310</v>
      </c>
      <c r="AX59" s="16">
        <f>Tabla1[[#Totals],[Incremento (S/)11]]/Tabla1[[#Totals],[Sin proyecto9]]</f>
        <v>0.77066994603218864</v>
      </c>
      <c r="AY59" s="15">
        <f>SUBTOTAL(109,Tabla1[Sin proyecto13])</f>
        <v>2513953</v>
      </c>
      <c r="AZ59" s="53">
        <f>SUBTOTAL(109,Tabla1[Con proyecto14])</f>
        <v>1594587</v>
      </c>
      <c r="BA59" s="53">
        <f>SUBTOTAL(109,Tabla1[Incremento (S/)15])</f>
        <v>1594587</v>
      </c>
      <c r="BB59" s="54">
        <f>Tabla1[[#Totals],[Incremento (S/)15]]/Tabla1[[#Totals],[Sin proyecto13]]</f>
        <v>0.63429467456233268</v>
      </c>
      <c r="BC59" s="4"/>
    </row>
    <row r="60" spans="1:55" s="19" customFormat="1" ht="17.25" x14ac:dyDescent="0.25">
      <c r="A60" s="95"/>
      <c r="Q60" s="20"/>
      <c r="R60" s="20"/>
      <c r="S60" s="20"/>
      <c r="T60" s="20"/>
      <c r="U60" s="20"/>
      <c r="V60" s="20"/>
      <c r="W60" s="20"/>
      <c r="X60" s="20"/>
      <c r="Y60" s="20"/>
      <c r="Z60" s="20"/>
      <c r="AA60" s="20"/>
      <c r="AB60" s="20"/>
      <c r="AC60" s="20"/>
      <c r="AD60" s="20"/>
      <c r="AE60" s="20"/>
      <c r="AF60" s="20"/>
      <c r="AG60" s="20"/>
      <c r="AH60" s="20"/>
      <c r="AI60" s="21">
        <f>SUBTOTAL(9,AI6:AI59)</f>
        <v>395846</v>
      </c>
      <c r="AJ60" s="21">
        <f>SUBTOTAL(9,AJ6:AJ59)</f>
        <v>597437</v>
      </c>
      <c r="AK60" s="21">
        <f>SUBTOTAL(9,AK6:AK59)</f>
        <v>201591</v>
      </c>
      <c r="AL60" s="22">
        <f t="shared" ref="AL60" si="10">(AJ60-AI60)/AI60</f>
        <v>0.50926622979643599</v>
      </c>
      <c r="AM60" s="21">
        <f>SUBTOTAL(9,AM6:AM59)</f>
        <v>1000880</v>
      </c>
      <c r="AN60" s="21">
        <f>SUBTOTAL(9,AN6:AN59)</f>
        <v>1741339</v>
      </c>
      <c r="AO60" s="21">
        <f>SUBTOTAL(9,AO6:AO59)</f>
        <v>740459</v>
      </c>
      <c r="AP60" s="23">
        <f>AO60/AM60</f>
        <v>0.73980796898729118</v>
      </c>
      <c r="AQ60" s="21">
        <f>SUBTOTAL(9,AQ6:AQ58)</f>
        <v>360363</v>
      </c>
      <c r="AR60" s="21">
        <f>SUBTOTAL(9,AR6:AR58)</f>
        <v>553168</v>
      </c>
      <c r="AS60" s="21">
        <f>SUBTOTAL(9,AS6:AS58)</f>
        <v>192805</v>
      </c>
      <c r="AT60" s="22">
        <f t="shared" ref="AT60" si="11">(AR60-AQ60)/AQ60</f>
        <v>0.53502995590557301</v>
      </c>
      <c r="AU60" s="24">
        <f>SUBTOTAL(9,AU6:AU59)</f>
        <v>874966</v>
      </c>
      <c r="AV60" s="24">
        <f>SUBTOTAL(9,AV6:AV59)</f>
        <v>1549275</v>
      </c>
      <c r="AW60" s="24">
        <f>SUBTOTAL(9,AW6:AW59)</f>
        <v>674310</v>
      </c>
      <c r="AX60" s="25">
        <f t="shared" ref="AX60" si="12">(AV60-AU60)/AU60</f>
        <v>0.7706688031306359</v>
      </c>
      <c r="AY60" s="26">
        <f>SUBTOTAL(9,AY6:AY59)</f>
        <v>2513953</v>
      </c>
      <c r="AZ60" s="26">
        <f>SUBTOTAL(9,AZ6:AZ59)</f>
        <v>1594587</v>
      </c>
      <c r="BA60" s="26">
        <f>SUBTOTAL(9,BA6:BA59)</f>
        <v>1594587</v>
      </c>
      <c r="BB60" s="27">
        <f>BA60/AY60</f>
        <v>0.63429467456233268</v>
      </c>
      <c r="BC60" s="28"/>
    </row>
    <row r="61" spans="1:55" ht="17.25" x14ac:dyDescent="0.25">
      <c r="AY61" s="29"/>
      <c r="BB61" s="2">
        <v>64</v>
      </c>
    </row>
    <row r="62" spans="1:55" x14ac:dyDescent="0.25">
      <c r="L62" s="93"/>
      <c r="M62" s="93"/>
      <c r="N62" s="93"/>
      <c r="O62" s="93"/>
      <c r="P62" s="93"/>
      <c r="Q62" s="94"/>
      <c r="R62" s="94"/>
      <c r="S62" s="94"/>
      <c r="T62" s="94"/>
      <c r="U62" s="94"/>
      <c r="V62" s="94"/>
      <c r="W62" s="94"/>
      <c r="X62" s="94"/>
      <c r="Y62" s="94"/>
      <c r="Z62" s="94"/>
      <c r="AA62" s="94"/>
      <c r="AB62" s="94"/>
      <c r="AC62" s="94"/>
      <c r="AD62" s="94"/>
      <c r="AY62" s="31"/>
      <c r="AZ62" s="32"/>
    </row>
    <row r="63" spans="1:55" x14ac:dyDescent="0.25">
      <c r="L63" s="93"/>
      <c r="M63" s="93"/>
      <c r="N63" s="93"/>
      <c r="O63" s="93"/>
      <c r="P63" s="93"/>
      <c r="Q63" s="94"/>
      <c r="R63" s="94"/>
      <c r="S63" s="94"/>
      <c r="T63" s="94"/>
      <c r="U63" s="94"/>
      <c r="V63" s="94"/>
      <c r="W63" s="94"/>
      <c r="X63" s="94"/>
      <c r="Y63" s="94"/>
      <c r="Z63" s="94"/>
      <c r="AA63" s="94"/>
      <c r="AB63" s="94"/>
      <c r="AC63" s="94"/>
      <c r="AD63" s="94"/>
      <c r="AY63" s="33"/>
    </row>
    <row r="64" spans="1:55" x14ac:dyDescent="0.25">
      <c r="AC64" s="94"/>
    </row>
    <row r="67" spans="45:52" x14ac:dyDescent="0.25">
      <c r="AT67" s="2" t="s">
        <v>68</v>
      </c>
      <c r="AU67" s="34">
        <v>53003838</v>
      </c>
      <c r="AV67" s="34">
        <v>76962607</v>
      </c>
      <c r="AW67" s="34">
        <v>23958774</v>
      </c>
      <c r="AX67" s="35">
        <v>0.45201960658018764</v>
      </c>
    </row>
    <row r="68" spans="45:52" x14ac:dyDescent="0.25">
      <c r="AU68" s="34"/>
      <c r="AV68" s="34"/>
      <c r="AW68" s="34"/>
      <c r="AX68" s="35"/>
    </row>
    <row r="69" spans="45:52" x14ac:dyDescent="0.25">
      <c r="AT69" s="2" t="s">
        <v>57</v>
      </c>
      <c r="AU69" s="34">
        <v>4147796</v>
      </c>
      <c r="AV69" s="34">
        <v>7598716</v>
      </c>
      <c r="AW69" s="34">
        <v>3450919</v>
      </c>
      <c r="AX69" s="35">
        <v>0.83198860310391354</v>
      </c>
    </row>
    <row r="70" spans="45:52" x14ac:dyDescent="0.25">
      <c r="AU70" s="36"/>
      <c r="AV70" s="36"/>
      <c r="AW70" s="36"/>
      <c r="AX70" s="35"/>
    </row>
    <row r="71" spans="45:52" x14ac:dyDescent="0.25">
      <c r="AU71" s="285" t="s">
        <v>32</v>
      </c>
      <c r="AV71" s="286"/>
      <c r="AW71" s="287"/>
      <c r="AX71" s="36" t="s">
        <v>29</v>
      </c>
    </row>
    <row r="72" spans="45:52" x14ac:dyDescent="0.25">
      <c r="AU72" s="36" t="s">
        <v>33</v>
      </c>
      <c r="AV72" s="36" t="s">
        <v>34</v>
      </c>
      <c r="AW72" s="36" t="s">
        <v>35</v>
      </c>
      <c r="AX72" s="35"/>
    </row>
    <row r="73" spans="45:52" x14ac:dyDescent="0.25">
      <c r="AS73" s="2" t="s">
        <v>305</v>
      </c>
      <c r="AT73" s="288" t="s">
        <v>306</v>
      </c>
      <c r="AU73" s="37">
        <v>57151634</v>
      </c>
      <c r="AV73" s="37">
        <v>84561323</v>
      </c>
      <c r="AW73" s="37">
        <v>27409693</v>
      </c>
      <c r="AX73" s="35">
        <f>AW73/AU73</f>
        <v>0.47959596395791587</v>
      </c>
      <c r="AY73" s="289" t="s">
        <v>307</v>
      </c>
    </row>
    <row r="74" spans="45:52" x14ac:dyDescent="0.25">
      <c r="AT74" s="288"/>
      <c r="AU74" s="37">
        <f>AU73/(13583+21560)</f>
        <v>1626.259397319523</v>
      </c>
      <c r="AV74" s="37">
        <f>AV73/(13583+21560)</f>
        <v>2406.2067268019237</v>
      </c>
      <c r="AW74" s="37">
        <f>AW73/(13583+21560)</f>
        <v>779.94744330307606</v>
      </c>
      <c r="AX74" s="35">
        <f t="shared" ref="AX74:AX78" si="13">AW74/AU74</f>
        <v>0.47959596395791593</v>
      </c>
      <c r="AY74" s="289"/>
      <c r="AZ74" s="2">
        <v>13583</v>
      </c>
    </row>
    <row r="75" spans="45:52" x14ac:dyDescent="0.25">
      <c r="AT75" s="288" t="s">
        <v>308</v>
      </c>
      <c r="AU75" s="37">
        <v>53003838</v>
      </c>
      <c r="AV75" s="37">
        <v>76962607</v>
      </c>
      <c r="AW75" s="37">
        <v>23958774</v>
      </c>
      <c r="AX75" s="35">
        <f t="shared" si="13"/>
        <v>0.45201960658018764</v>
      </c>
      <c r="AY75" s="289" t="s">
        <v>309</v>
      </c>
    </row>
    <row r="76" spans="45:52" x14ac:dyDescent="0.25">
      <c r="AT76" s="288"/>
      <c r="AU76" s="37">
        <f>AU75/13583</f>
        <v>3902.218802915409</v>
      </c>
      <c r="AV76" s="37">
        <f>AV75/AZ74</f>
        <v>5666.0978428918497</v>
      </c>
      <c r="AW76" s="37">
        <f>AW75/AZ74</f>
        <v>1763.879408083634</v>
      </c>
      <c r="AX76" s="35">
        <f t="shared" si="13"/>
        <v>0.45201960658018764</v>
      </c>
      <c r="AY76" s="289"/>
    </row>
    <row r="77" spans="45:52" x14ac:dyDescent="0.25">
      <c r="AS77" s="2" t="s">
        <v>310</v>
      </c>
      <c r="AT77" s="30" t="s">
        <v>57</v>
      </c>
      <c r="AU77" s="37">
        <v>4147796</v>
      </c>
      <c r="AV77" s="37">
        <v>7598716</v>
      </c>
      <c r="AW77" s="37">
        <v>3450919</v>
      </c>
      <c r="AX77" s="35">
        <f t="shared" si="13"/>
        <v>0.83198860310391354</v>
      </c>
      <c r="AY77" s="38" t="s">
        <v>311</v>
      </c>
      <c r="AZ77" s="2">
        <v>21560</v>
      </c>
    </row>
    <row r="78" spans="45:52" x14ac:dyDescent="0.25">
      <c r="AT78" s="30"/>
      <c r="AU78" s="37">
        <f>AU77/AZ77</f>
        <v>192.38385899814472</v>
      </c>
      <c r="AV78" s="37">
        <f>AV77/AZ77</f>
        <v>352.44508348794062</v>
      </c>
      <c r="AW78" s="37">
        <f>AW77/AZ77</f>
        <v>160.06117810760668</v>
      </c>
      <c r="AX78" s="35">
        <f t="shared" si="13"/>
        <v>0.83198860310391343</v>
      </c>
      <c r="AY78" s="38"/>
    </row>
  </sheetData>
  <mergeCells count="44">
    <mergeCell ref="B2:AH2"/>
    <mergeCell ref="AU71:AW71"/>
    <mergeCell ref="AT73:AT74"/>
    <mergeCell ref="AY73:AY74"/>
    <mergeCell ref="AT75:AT76"/>
    <mergeCell ref="AY75:AY76"/>
    <mergeCell ref="AY3:BB4"/>
    <mergeCell ref="AI4:AK4"/>
    <mergeCell ref="AM4:AO4"/>
    <mergeCell ref="AQ4:AS4"/>
    <mergeCell ref="AQ3:AX3"/>
    <mergeCell ref="AU4:AW4"/>
    <mergeCell ref="AI3:AP3"/>
    <mergeCell ref="AA3:AA4"/>
    <mergeCell ref="AB3:AB4"/>
    <mergeCell ref="AG3:AG4"/>
    <mergeCell ref="AH3:AH4"/>
    <mergeCell ref="AD4:AE4"/>
    <mergeCell ref="AC3:AF3"/>
    <mergeCell ref="Z3:Z4"/>
    <mergeCell ref="O3:O4"/>
    <mergeCell ref="P3:P4"/>
    <mergeCell ref="Q3:Q4"/>
    <mergeCell ref="R3:R4"/>
    <mergeCell ref="S3:S4"/>
    <mergeCell ref="T3:T4"/>
    <mergeCell ref="U3:U4"/>
    <mergeCell ref="V3:V4"/>
    <mergeCell ref="W3:W4"/>
    <mergeCell ref="X3:X4"/>
    <mergeCell ref="Y3:Y4"/>
    <mergeCell ref="N3:N4"/>
    <mergeCell ref="B3:B4"/>
    <mergeCell ref="C3:C4"/>
    <mergeCell ref="D3:D4"/>
    <mergeCell ref="E3:E4"/>
    <mergeCell ref="F3:F4"/>
    <mergeCell ref="G3:G4"/>
    <mergeCell ref="H3:H4"/>
    <mergeCell ref="I3:I4"/>
    <mergeCell ref="J3:J4"/>
    <mergeCell ref="K3:K4"/>
    <mergeCell ref="L3:L4"/>
    <mergeCell ref="M3:M4"/>
  </mergeCells>
  <printOptions horizontalCentered="1"/>
  <pageMargins left="0.35433070866141736" right="0.35433070866141736" top="0.78740157480314965" bottom="0.78740157480314965" header="0.51181102362204722" footer="0.51181102362204722"/>
  <pageSetup scale="55" orientation="landscape"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62"/>
  <sheetViews>
    <sheetView topLeftCell="A45" workbookViewId="0">
      <selection activeCell="A37" sqref="A37:J62"/>
    </sheetView>
  </sheetViews>
  <sheetFormatPr baseColWidth="10" defaultRowHeight="15" x14ac:dyDescent="0.25"/>
  <cols>
    <col min="1" max="1" width="52.5703125" customWidth="1"/>
    <col min="2" max="2" width="22.42578125" customWidth="1"/>
    <col min="3" max="3" width="6" customWidth="1"/>
    <col min="4" max="4" width="14.7109375" customWidth="1"/>
    <col min="5" max="5" width="15.7109375" bestFit="1" customWidth="1"/>
    <col min="6" max="6" width="16.85546875" bestFit="1" customWidth="1"/>
    <col min="7" max="7" width="6" customWidth="1"/>
    <col min="8" max="8" width="4.42578125" customWidth="1"/>
    <col min="9" max="9" width="20" bestFit="1" customWidth="1"/>
    <col min="10" max="10" width="12.5703125" bestFit="1" customWidth="1"/>
  </cols>
  <sheetData>
    <row r="3" spans="1:10" x14ac:dyDescent="0.25">
      <c r="A3" s="223" t="s">
        <v>802</v>
      </c>
      <c r="B3" s="223" t="s">
        <v>314</v>
      </c>
    </row>
    <row r="4" spans="1:10" x14ac:dyDescent="0.25">
      <c r="B4" t="s">
        <v>60</v>
      </c>
      <c r="E4" t="s">
        <v>837</v>
      </c>
      <c r="F4" t="s">
        <v>210</v>
      </c>
      <c r="I4" t="s">
        <v>838</v>
      </c>
      <c r="J4" t="s">
        <v>313</v>
      </c>
    </row>
    <row r="5" spans="1:10" x14ac:dyDescent="0.25">
      <c r="A5" s="223" t="s">
        <v>312</v>
      </c>
      <c r="B5" t="s">
        <v>68</v>
      </c>
      <c r="C5" t="s">
        <v>98</v>
      </c>
      <c r="D5" t="s">
        <v>57</v>
      </c>
      <c r="F5" t="s">
        <v>68</v>
      </c>
      <c r="G5" t="s">
        <v>98</v>
      </c>
      <c r="H5" t="s">
        <v>57</v>
      </c>
    </row>
    <row r="6" spans="1:10" x14ac:dyDescent="0.25">
      <c r="A6" s="224" t="s">
        <v>99</v>
      </c>
      <c r="B6" s="226">
        <v>2</v>
      </c>
      <c r="C6" s="226">
        <v>1</v>
      </c>
      <c r="D6" s="226"/>
      <c r="E6" s="226">
        <v>3</v>
      </c>
      <c r="F6" s="226"/>
      <c r="G6" s="226"/>
      <c r="H6" s="226"/>
      <c r="I6" s="226"/>
      <c r="J6" s="226">
        <v>3</v>
      </c>
    </row>
    <row r="7" spans="1:10" x14ac:dyDescent="0.25">
      <c r="A7" s="224" t="s">
        <v>143</v>
      </c>
      <c r="B7" s="226">
        <v>2</v>
      </c>
      <c r="C7" s="226"/>
      <c r="D7" s="226"/>
      <c r="E7" s="226">
        <v>2</v>
      </c>
      <c r="F7" s="226">
        <v>2</v>
      </c>
      <c r="G7" s="226">
        <v>2</v>
      </c>
      <c r="H7" s="226"/>
      <c r="I7" s="226">
        <v>4</v>
      </c>
      <c r="J7" s="226">
        <v>6</v>
      </c>
    </row>
    <row r="8" spans="1:10" x14ac:dyDescent="0.25">
      <c r="A8" s="224" t="s">
        <v>199</v>
      </c>
      <c r="B8" s="226"/>
      <c r="C8" s="226"/>
      <c r="D8" s="226"/>
      <c r="E8" s="226"/>
      <c r="F8" s="226"/>
      <c r="G8" s="226"/>
      <c r="H8" s="226">
        <v>1</v>
      </c>
      <c r="I8" s="226">
        <v>1</v>
      </c>
      <c r="J8" s="226">
        <v>1</v>
      </c>
    </row>
    <row r="9" spans="1:10" x14ac:dyDescent="0.25">
      <c r="A9" s="224" t="s">
        <v>92</v>
      </c>
      <c r="B9" s="226">
        <v>2</v>
      </c>
      <c r="C9" s="226"/>
      <c r="D9" s="226"/>
      <c r="E9" s="226">
        <v>2</v>
      </c>
      <c r="F9" s="226"/>
      <c r="G9" s="226"/>
      <c r="H9" s="226"/>
      <c r="I9" s="226"/>
      <c r="J9" s="226">
        <v>2</v>
      </c>
    </row>
    <row r="10" spans="1:10" x14ac:dyDescent="0.25">
      <c r="A10" s="224" t="s">
        <v>72</v>
      </c>
      <c r="B10" s="226">
        <v>3</v>
      </c>
      <c r="C10" s="226"/>
      <c r="D10" s="226"/>
      <c r="E10" s="226">
        <v>3</v>
      </c>
      <c r="F10" s="226">
        <v>1</v>
      </c>
      <c r="G10" s="226"/>
      <c r="H10" s="226"/>
      <c r="I10" s="226">
        <v>1</v>
      </c>
      <c r="J10" s="226">
        <v>4</v>
      </c>
    </row>
    <row r="11" spans="1:10" x14ac:dyDescent="0.25">
      <c r="A11" s="224" t="s">
        <v>140</v>
      </c>
      <c r="B11" s="226">
        <v>1</v>
      </c>
      <c r="C11" s="226"/>
      <c r="D11" s="226"/>
      <c r="E11" s="226">
        <v>1</v>
      </c>
      <c r="F11" s="226"/>
      <c r="G11" s="226"/>
      <c r="H11" s="226"/>
      <c r="I11" s="226"/>
      <c r="J11" s="226">
        <v>1</v>
      </c>
    </row>
    <row r="12" spans="1:10" x14ac:dyDescent="0.25">
      <c r="A12" s="224" t="s">
        <v>77</v>
      </c>
      <c r="B12" s="226">
        <v>3</v>
      </c>
      <c r="C12" s="226"/>
      <c r="D12" s="226"/>
      <c r="E12" s="226">
        <v>3</v>
      </c>
      <c r="F12" s="226">
        <v>1</v>
      </c>
      <c r="G12" s="226"/>
      <c r="H12" s="226"/>
      <c r="I12" s="226">
        <v>1</v>
      </c>
      <c r="J12" s="226">
        <v>4</v>
      </c>
    </row>
    <row r="13" spans="1:10" x14ac:dyDescent="0.25">
      <c r="A13" s="224" t="s">
        <v>141</v>
      </c>
      <c r="B13" s="226">
        <v>3</v>
      </c>
      <c r="C13" s="226"/>
      <c r="D13" s="226"/>
      <c r="E13" s="226">
        <v>3</v>
      </c>
      <c r="F13" s="226">
        <v>1</v>
      </c>
      <c r="G13" s="226">
        <v>1</v>
      </c>
      <c r="H13" s="226"/>
      <c r="I13" s="226">
        <v>2</v>
      </c>
      <c r="J13" s="226">
        <v>5</v>
      </c>
    </row>
    <row r="14" spans="1:10" x14ac:dyDescent="0.25">
      <c r="A14" s="224" t="s">
        <v>172</v>
      </c>
      <c r="B14" s="226"/>
      <c r="C14" s="226"/>
      <c r="D14" s="226"/>
      <c r="E14" s="226"/>
      <c r="F14" s="226"/>
      <c r="G14" s="226"/>
      <c r="H14" s="226">
        <v>2</v>
      </c>
      <c r="I14" s="226">
        <v>2</v>
      </c>
      <c r="J14" s="226">
        <v>2</v>
      </c>
    </row>
    <row r="15" spans="1:10" x14ac:dyDescent="0.25">
      <c r="A15" s="224" t="s">
        <v>67</v>
      </c>
      <c r="B15" s="226"/>
      <c r="C15" s="226"/>
      <c r="D15" s="226"/>
      <c r="E15" s="226"/>
      <c r="F15" s="226"/>
      <c r="G15" s="226"/>
      <c r="H15" s="226">
        <v>1</v>
      </c>
      <c r="I15" s="226">
        <v>1</v>
      </c>
      <c r="J15" s="226">
        <v>1</v>
      </c>
    </row>
    <row r="16" spans="1:10" x14ac:dyDescent="0.25">
      <c r="A16" s="224" t="s">
        <v>121</v>
      </c>
      <c r="B16" s="226">
        <v>1</v>
      </c>
      <c r="C16" s="226"/>
      <c r="D16" s="226"/>
      <c r="E16" s="226">
        <v>1</v>
      </c>
      <c r="F16" s="226">
        <v>5</v>
      </c>
      <c r="G16" s="226"/>
      <c r="H16" s="226"/>
      <c r="I16" s="226">
        <v>5</v>
      </c>
      <c r="J16" s="226">
        <v>6</v>
      </c>
    </row>
    <row r="17" spans="1:10" x14ac:dyDescent="0.25">
      <c r="A17" s="224" t="s">
        <v>70</v>
      </c>
      <c r="B17" s="226"/>
      <c r="C17" s="226"/>
      <c r="D17" s="226"/>
      <c r="E17" s="226"/>
      <c r="F17" s="226">
        <v>1</v>
      </c>
      <c r="G17" s="226"/>
      <c r="H17" s="226"/>
      <c r="I17" s="226">
        <v>1</v>
      </c>
      <c r="J17" s="226">
        <v>1</v>
      </c>
    </row>
    <row r="18" spans="1:10" x14ac:dyDescent="0.25">
      <c r="A18" s="224" t="s">
        <v>65</v>
      </c>
      <c r="B18" s="226"/>
      <c r="C18" s="226"/>
      <c r="D18" s="226">
        <v>1</v>
      </c>
      <c r="E18" s="226">
        <v>1</v>
      </c>
      <c r="F18" s="226"/>
      <c r="G18" s="226"/>
      <c r="H18" s="226"/>
      <c r="I18" s="226"/>
      <c r="J18" s="226">
        <v>1</v>
      </c>
    </row>
    <row r="19" spans="1:10" x14ac:dyDescent="0.25">
      <c r="A19" s="224" t="s">
        <v>96</v>
      </c>
      <c r="B19" s="226"/>
      <c r="C19" s="226"/>
      <c r="D19" s="226">
        <v>1</v>
      </c>
      <c r="E19" s="226">
        <v>1</v>
      </c>
      <c r="F19" s="226"/>
      <c r="G19" s="226"/>
      <c r="H19" s="226"/>
      <c r="I19" s="226"/>
      <c r="J19" s="226">
        <v>1</v>
      </c>
    </row>
    <row r="20" spans="1:10" x14ac:dyDescent="0.25">
      <c r="A20" s="224" t="s">
        <v>59</v>
      </c>
      <c r="B20" s="226"/>
      <c r="C20" s="226"/>
      <c r="D20" s="226"/>
      <c r="E20" s="226"/>
      <c r="F20" s="226"/>
      <c r="G20" s="226"/>
      <c r="H20" s="226">
        <v>2</v>
      </c>
      <c r="I20" s="226">
        <v>2</v>
      </c>
      <c r="J20" s="226">
        <v>2</v>
      </c>
    </row>
    <row r="21" spans="1:10" x14ac:dyDescent="0.25">
      <c r="A21" s="224" t="s">
        <v>103</v>
      </c>
      <c r="B21" s="226"/>
      <c r="C21" s="226"/>
      <c r="D21" s="226"/>
      <c r="E21" s="226"/>
      <c r="F21" s="226"/>
      <c r="G21" s="226"/>
      <c r="H21" s="226">
        <v>3</v>
      </c>
      <c r="I21" s="226">
        <v>3</v>
      </c>
      <c r="J21" s="226">
        <v>3</v>
      </c>
    </row>
    <row r="22" spans="1:10" x14ac:dyDescent="0.25">
      <c r="A22" s="224" t="s">
        <v>762</v>
      </c>
      <c r="B22" s="226"/>
      <c r="C22" s="226"/>
      <c r="D22" s="226"/>
      <c r="E22" s="226"/>
      <c r="F22" s="226"/>
      <c r="G22" s="226"/>
      <c r="H22" s="226">
        <v>1</v>
      </c>
      <c r="I22" s="226">
        <v>1</v>
      </c>
      <c r="J22" s="226">
        <v>1</v>
      </c>
    </row>
    <row r="23" spans="1:10" x14ac:dyDescent="0.25">
      <c r="A23" s="224" t="s">
        <v>142</v>
      </c>
      <c r="B23" s="226"/>
      <c r="C23" s="226"/>
      <c r="D23" s="226"/>
      <c r="E23" s="226"/>
      <c r="F23" s="226">
        <v>1</v>
      </c>
      <c r="G23" s="226"/>
      <c r="H23" s="226"/>
      <c r="I23" s="226">
        <v>1</v>
      </c>
      <c r="J23" s="226">
        <v>1</v>
      </c>
    </row>
    <row r="24" spans="1:10" x14ac:dyDescent="0.25">
      <c r="A24" s="224" t="s">
        <v>110</v>
      </c>
      <c r="B24" s="226"/>
      <c r="C24" s="226"/>
      <c r="D24" s="226">
        <v>1</v>
      </c>
      <c r="E24" s="226">
        <v>1</v>
      </c>
      <c r="F24" s="226"/>
      <c r="G24" s="226"/>
      <c r="H24" s="226"/>
      <c r="I24" s="226"/>
      <c r="J24" s="226">
        <v>1</v>
      </c>
    </row>
    <row r="25" spans="1:10" x14ac:dyDescent="0.25">
      <c r="A25" s="224" t="s">
        <v>74</v>
      </c>
      <c r="B25" s="226">
        <v>1</v>
      </c>
      <c r="C25" s="226"/>
      <c r="D25" s="226"/>
      <c r="E25" s="226">
        <v>1</v>
      </c>
      <c r="F25" s="226"/>
      <c r="G25" s="226"/>
      <c r="H25" s="226"/>
      <c r="I25" s="226"/>
      <c r="J25" s="226">
        <v>1</v>
      </c>
    </row>
    <row r="26" spans="1:10" x14ac:dyDescent="0.25">
      <c r="A26" s="224" t="s">
        <v>134</v>
      </c>
      <c r="B26" s="226"/>
      <c r="C26" s="226"/>
      <c r="D26" s="226">
        <v>1</v>
      </c>
      <c r="E26" s="226">
        <v>1</v>
      </c>
      <c r="F26" s="226"/>
      <c r="G26" s="226"/>
      <c r="H26" s="226"/>
      <c r="I26" s="226"/>
      <c r="J26" s="226">
        <v>1</v>
      </c>
    </row>
    <row r="27" spans="1:10" x14ac:dyDescent="0.25">
      <c r="A27" s="224" t="s">
        <v>86</v>
      </c>
      <c r="B27" s="226">
        <v>1</v>
      </c>
      <c r="C27" s="226"/>
      <c r="D27" s="226"/>
      <c r="E27" s="226">
        <v>1</v>
      </c>
      <c r="F27" s="226">
        <v>3</v>
      </c>
      <c r="G27" s="226"/>
      <c r="H27" s="226"/>
      <c r="I27" s="226">
        <v>3</v>
      </c>
      <c r="J27" s="226">
        <v>4</v>
      </c>
    </row>
    <row r="28" spans="1:10" x14ac:dyDescent="0.25">
      <c r="A28" s="224" t="s">
        <v>211</v>
      </c>
      <c r="B28" s="226"/>
      <c r="C28" s="226"/>
      <c r="D28" s="226"/>
      <c r="E28" s="226"/>
      <c r="F28" s="226"/>
      <c r="G28" s="226"/>
      <c r="H28" s="226">
        <v>1</v>
      </c>
      <c r="I28" s="226">
        <v>1</v>
      </c>
      <c r="J28" s="226">
        <v>1</v>
      </c>
    </row>
    <row r="29" spans="1:10" x14ac:dyDescent="0.25">
      <c r="A29" s="224" t="s">
        <v>313</v>
      </c>
      <c r="B29" s="226">
        <v>19</v>
      </c>
      <c r="C29" s="226">
        <v>1</v>
      </c>
      <c r="D29" s="226">
        <v>4</v>
      </c>
      <c r="E29" s="226">
        <v>24</v>
      </c>
      <c r="F29" s="226">
        <v>15</v>
      </c>
      <c r="G29" s="226">
        <v>3</v>
      </c>
      <c r="H29" s="226">
        <v>11</v>
      </c>
      <c r="I29" s="226">
        <v>29</v>
      </c>
      <c r="J29" s="226">
        <v>53</v>
      </c>
    </row>
    <row r="36" spans="1:10" x14ac:dyDescent="0.25">
      <c r="A36" s="223" t="s">
        <v>802</v>
      </c>
      <c r="B36" s="223" t="s">
        <v>314</v>
      </c>
      <c r="C36" s="223"/>
    </row>
    <row r="37" spans="1:10" x14ac:dyDescent="0.25">
      <c r="B37" t="s">
        <v>839</v>
      </c>
      <c r="E37" t="s">
        <v>840</v>
      </c>
      <c r="F37" t="s">
        <v>210</v>
      </c>
      <c r="I37" t="s">
        <v>838</v>
      </c>
      <c r="J37" t="s">
        <v>313</v>
      </c>
    </row>
    <row r="38" spans="1:10" x14ac:dyDescent="0.25">
      <c r="A38" s="223" t="s">
        <v>5</v>
      </c>
      <c r="B38" t="s">
        <v>60</v>
      </c>
      <c r="C38" t="s">
        <v>98</v>
      </c>
      <c r="D38" t="s">
        <v>57</v>
      </c>
      <c r="F38" t="s">
        <v>60</v>
      </c>
      <c r="G38" t="s">
        <v>98</v>
      </c>
      <c r="H38" t="s">
        <v>57</v>
      </c>
    </row>
    <row r="39" spans="1:10" x14ac:dyDescent="0.25">
      <c r="A39" s="224" t="s">
        <v>99</v>
      </c>
      <c r="B39" s="226">
        <v>2</v>
      </c>
      <c r="C39" s="226">
        <v>1</v>
      </c>
      <c r="D39" s="226"/>
      <c r="E39" s="226">
        <v>3</v>
      </c>
      <c r="F39" s="226"/>
      <c r="G39" s="226"/>
      <c r="H39" s="226"/>
      <c r="I39" s="226"/>
      <c r="J39" s="226">
        <v>3</v>
      </c>
    </row>
    <row r="40" spans="1:10" x14ac:dyDescent="0.25">
      <c r="A40" s="224" t="s">
        <v>143</v>
      </c>
      <c r="B40" s="226">
        <v>2</v>
      </c>
      <c r="C40" s="226"/>
      <c r="D40" s="226"/>
      <c r="E40" s="226">
        <v>2</v>
      </c>
      <c r="F40" s="226">
        <v>2</v>
      </c>
      <c r="G40" s="226">
        <v>2</v>
      </c>
      <c r="H40" s="226"/>
      <c r="I40" s="226">
        <v>4</v>
      </c>
      <c r="J40" s="226">
        <v>6</v>
      </c>
    </row>
    <row r="41" spans="1:10" x14ac:dyDescent="0.25">
      <c r="A41" s="224" t="s">
        <v>199</v>
      </c>
      <c r="B41" s="226"/>
      <c r="C41" s="226"/>
      <c r="D41" s="226"/>
      <c r="E41" s="226"/>
      <c r="F41" s="226"/>
      <c r="G41" s="226"/>
      <c r="H41" s="226">
        <v>1</v>
      </c>
      <c r="I41" s="226">
        <v>1</v>
      </c>
      <c r="J41" s="226">
        <v>1</v>
      </c>
    </row>
    <row r="42" spans="1:10" x14ac:dyDescent="0.25">
      <c r="A42" s="224" t="s">
        <v>92</v>
      </c>
      <c r="B42" s="226">
        <v>2</v>
      </c>
      <c r="C42" s="226"/>
      <c r="D42" s="226"/>
      <c r="E42" s="226">
        <v>2</v>
      </c>
      <c r="F42" s="226"/>
      <c r="G42" s="226"/>
      <c r="H42" s="226"/>
      <c r="I42" s="226"/>
      <c r="J42" s="226">
        <v>2</v>
      </c>
    </row>
    <row r="43" spans="1:10" x14ac:dyDescent="0.25">
      <c r="A43" s="224" t="s">
        <v>72</v>
      </c>
      <c r="B43" s="226">
        <v>3</v>
      </c>
      <c r="C43" s="226"/>
      <c r="D43" s="226"/>
      <c r="E43" s="226">
        <v>3</v>
      </c>
      <c r="F43" s="226">
        <v>1</v>
      </c>
      <c r="G43" s="226"/>
      <c r="H43" s="226"/>
      <c r="I43" s="226">
        <v>1</v>
      </c>
      <c r="J43" s="226">
        <v>4</v>
      </c>
    </row>
    <row r="44" spans="1:10" x14ac:dyDescent="0.25">
      <c r="A44" s="224" t="s">
        <v>140</v>
      </c>
      <c r="B44" s="226">
        <v>1</v>
      </c>
      <c r="C44" s="226"/>
      <c r="D44" s="226"/>
      <c r="E44" s="226">
        <v>1</v>
      </c>
      <c r="F44" s="226"/>
      <c r="G44" s="226"/>
      <c r="H44" s="226"/>
      <c r="I44" s="226"/>
      <c r="J44" s="226">
        <v>1</v>
      </c>
    </row>
    <row r="45" spans="1:10" x14ac:dyDescent="0.25">
      <c r="A45" s="224" t="s">
        <v>77</v>
      </c>
      <c r="B45" s="226">
        <v>3</v>
      </c>
      <c r="C45" s="226"/>
      <c r="D45" s="226"/>
      <c r="E45" s="226">
        <v>3</v>
      </c>
      <c r="F45" s="226">
        <v>1</v>
      </c>
      <c r="G45" s="226"/>
      <c r="H45" s="226"/>
      <c r="I45" s="226">
        <v>1</v>
      </c>
      <c r="J45" s="226">
        <v>4</v>
      </c>
    </row>
    <row r="46" spans="1:10" x14ac:dyDescent="0.25">
      <c r="A46" s="224" t="s">
        <v>141</v>
      </c>
      <c r="B46" s="226">
        <v>3</v>
      </c>
      <c r="C46" s="226"/>
      <c r="D46" s="226"/>
      <c r="E46" s="226">
        <v>3</v>
      </c>
      <c r="F46" s="226">
        <v>1</v>
      </c>
      <c r="G46" s="226">
        <v>1</v>
      </c>
      <c r="H46" s="226"/>
      <c r="I46" s="226">
        <v>2</v>
      </c>
      <c r="J46" s="226">
        <v>5</v>
      </c>
    </row>
    <row r="47" spans="1:10" x14ac:dyDescent="0.25">
      <c r="A47" s="224" t="s">
        <v>172</v>
      </c>
      <c r="B47" s="226"/>
      <c r="C47" s="226"/>
      <c r="D47" s="226"/>
      <c r="E47" s="226"/>
      <c r="F47" s="226"/>
      <c r="G47" s="226"/>
      <c r="H47" s="226">
        <v>2</v>
      </c>
      <c r="I47" s="226">
        <v>2</v>
      </c>
      <c r="J47" s="226">
        <v>2</v>
      </c>
    </row>
    <row r="48" spans="1:10" x14ac:dyDescent="0.25">
      <c r="A48" s="224" t="s">
        <v>67</v>
      </c>
      <c r="B48" s="226"/>
      <c r="C48" s="226"/>
      <c r="D48" s="226"/>
      <c r="E48" s="226"/>
      <c r="F48" s="226"/>
      <c r="G48" s="226"/>
      <c r="H48" s="226">
        <v>1</v>
      </c>
      <c r="I48" s="226">
        <v>1</v>
      </c>
      <c r="J48" s="226">
        <v>1</v>
      </c>
    </row>
    <row r="49" spans="1:10" x14ac:dyDescent="0.25">
      <c r="A49" s="224" t="s">
        <v>121</v>
      </c>
      <c r="B49" s="226">
        <v>1</v>
      </c>
      <c r="C49" s="226"/>
      <c r="D49" s="226"/>
      <c r="E49" s="226">
        <v>1</v>
      </c>
      <c r="F49" s="226">
        <v>5</v>
      </c>
      <c r="G49" s="226"/>
      <c r="H49" s="226"/>
      <c r="I49" s="226">
        <v>5</v>
      </c>
      <c r="J49" s="226">
        <v>6</v>
      </c>
    </row>
    <row r="50" spans="1:10" x14ac:dyDescent="0.25">
      <c r="A50" s="224" t="s">
        <v>70</v>
      </c>
      <c r="B50" s="226"/>
      <c r="C50" s="226"/>
      <c r="D50" s="226"/>
      <c r="E50" s="226"/>
      <c r="F50" s="226">
        <v>1</v>
      </c>
      <c r="G50" s="226"/>
      <c r="H50" s="226"/>
      <c r="I50" s="226">
        <v>1</v>
      </c>
      <c r="J50" s="226">
        <v>1</v>
      </c>
    </row>
    <row r="51" spans="1:10" x14ac:dyDescent="0.25">
      <c r="A51" s="224" t="s">
        <v>65</v>
      </c>
      <c r="B51" s="226"/>
      <c r="C51" s="226"/>
      <c r="D51" s="226">
        <v>1</v>
      </c>
      <c r="E51" s="226">
        <v>1</v>
      </c>
      <c r="F51" s="226"/>
      <c r="G51" s="226"/>
      <c r="H51" s="226"/>
      <c r="I51" s="226"/>
      <c r="J51" s="226">
        <v>1</v>
      </c>
    </row>
    <row r="52" spans="1:10" x14ac:dyDescent="0.25">
      <c r="A52" s="224" t="s">
        <v>96</v>
      </c>
      <c r="B52" s="226"/>
      <c r="C52" s="226"/>
      <c r="D52" s="226">
        <v>1</v>
      </c>
      <c r="E52" s="226">
        <v>1</v>
      </c>
      <c r="F52" s="226"/>
      <c r="G52" s="226"/>
      <c r="H52" s="226"/>
      <c r="I52" s="226"/>
      <c r="J52" s="226">
        <v>1</v>
      </c>
    </row>
    <row r="53" spans="1:10" x14ac:dyDescent="0.25">
      <c r="A53" s="224" t="s">
        <v>59</v>
      </c>
      <c r="B53" s="226"/>
      <c r="C53" s="226"/>
      <c r="D53" s="226"/>
      <c r="E53" s="226"/>
      <c r="F53" s="226"/>
      <c r="G53" s="226"/>
      <c r="H53" s="226">
        <v>2</v>
      </c>
      <c r="I53" s="226">
        <v>2</v>
      </c>
      <c r="J53" s="226">
        <v>2</v>
      </c>
    </row>
    <row r="54" spans="1:10" x14ac:dyDescent="0.25">
      <c r="A54" s="224" t="s">
        <v>103</v>
      </c>
      <c r="B54" s="226"/>
      <c r="C54" s="226"/>
      <c r="D54" s="226"/>
      <c r="E54" s="226"/>
      <c r="F54" s="226"/>
      <c r="G54" s="226"/>
      <c r="H54" s="226">
        <v>3</v>
      </c>
      <c r="I54" s="226">
        <v>3</v>
      </c>
      <c r="J54" s="226">
        <v>3</v>
      </c>
    </row>
    <row r="55" spans="1:10" x14ac:dyDescent="0.25">
      <c r="A55" s="224" t="s">
        <v>762</v>
      </c>
      <c r="B55" s="226"/>
      <c r="C55" s="226"/>
      <c r="D55" s="226"/>
      <c r="E55" s="226"/>
      <c r="F55" s="226"/>
      <c r="G55" s="226"/>
      <c r="H55" s="226">
        <v>1</v>
      </c>
      <c r="I55" s="226">
        <v>1</v>
      </c>
      <c r="J55" s="226">
        <v>1</v>
      </c>
    </row>
    <row r="56" spans="1:10" x14ac:dyDescent="0.25">
      <c r="A56" s="224" t="s">
        <v>142</v>
      </c>
      <c r="B56" s="226"/>
      <c r="C56" s="226"/>
      <c r="D56" s="226"/>
      <c r="E56" s="226"/>
      <c r="F56" s="226">
        <v>1</v>
      </c>
      <c r="G56" s="226"/>
      <c r="H56" s="226"/>
      <c r="I56" s="226">
        <v>1</v>
      </c>
      <c r="J56" s="226">
        <v>1</v>
      </c>
    </row>
    <row r="57" spans="1:10" x14ac:dyDescent="0.25">
      <c r="A57" s="224" t="s">
        <v>110</v>
      </c>
      <c r="B57" s="226"/>
      <c r="C57" s="226"/>
      <c r="D57" s="226">
        <v>1</v>
      </c>
      <c r="E57" s="226">
        <v>1</v>
      </c>
      <c r="F57" s="226"/>
      <c r="G57" s="226"/>
      <c r="H57" s="226"/>
      <c r="I57" s="226"/>
      <c r="J57" s="226">
        <v>1</v>
      </c>
    </row>
    <row r="58" spans="1:10" x14ac:dyDescent="0.25">
      <c r="A58" s="224" t="s">
        <v>74</v>
      </c>
      <c r="B58" s="226">
        <v>1</v>
      </c>
      <c r="C58" s="226"/>
      <c r="D58" s="226"/>
      <c r="E58" s="226">
        <v>1</v>
      </c>
      <c r="F58" s="226"/>
      <c r="G58" s="226"/>
      <c r="H58" s="226"/>
      <c r="I58" s="226"/>
      <c r="J58" s="226">
        <v>1</v>
      </c>
    </row>
    <row r="59" spans="1:10" x14ac:dyDescent="0.25">
      <c r="A59" s="224" t="s">
        <v>134</v>
      </c>
      <c r="B59" s="226"/>
      <c r="C59" s="226"/>
      <c r="D59" s="226">
        <v>1</v>
      </c>
      <c r="E59" s="226">
        <v>1</v>
      </c>
      <c r="F59" s="226"/>
      <c r="G59" s="226"/>
      <c r="H59" s="226"/>
      <c r="I59" s="226"/>
      <c r="J59" s="226">
        <v>1</v>
      </c>
    </row>
    <row r="60" spans="1:10" x14ac:dyDescent="0.25">
      <c r="A60" s="224" t="s">
        <v>86</v>
      </c>
      <c r="B60" s="226">
        <v>1</v>
      </c>
      <c r="C60" s="226"/>
      <c r="D60" s="226"/>
      <c r="E60" s="226">
        <v>1</v>
      </c>
      <c r="F60" s="226">
        <v>3</v>
      </c>
      <c r="G60" s="226"/>
      <c r="H60" s="226"/>
      <c r="I60" s="226">
        <v>3</v>
      </c>
      <c r="J60" s="226">
        <v>4</v>
      </c>
    </row>
    <row r="61" spans="1:10" x14ac:dyDescent="0.25">
      <c r="A61" s="224" t="s">
        <v>211</v>
      </c>
      <c r="B61" s="226"/>
      <c r="C61" s="226"/>
      <c r="D61" s="226"/>
      <c r="E61" s="226"/>
      <c r="F61" s="226"/>
      <c r="G61" s="226"/>
      <c r="H61" s="226">
        <v>1</v>
      </c>
      <c r="I61" s="226">
        <v>1</v>
      </c>
      <c r="J61" s="226">
        <v>1</v>
      </c>
    </row>
    <row r="62" spans="1:10" x14ac:dyDescent="0.25">
      <c r="A62" s="224" t="s">
        <v>313</v>
      </c>
      <c r="B62" s="226">
        <v>19</v>
      </c>
      <c r="C62" s="226">
        <v>1</v>
      </c>
      <c r="D62" s="226">
        <v>4</v>
      </c>
      <c r="E62" s="226">
        <v>24</v>
      </c>
      <c r="F62" s="226">
        <v>15</v>
      </c>
      <c r="G62" s="226">
        <v>3</v>
      </c>
      <c r="H62" s="226">
        <v>11</v>
      </c>
      <c r="I62" s="226">
        <v>29</v>
      </c>
      <c r="J62" s="226">
        <v>53</v>
      </c>
    </row>
  </sheetData>
  <pageMargins left="0.7" right="0.7" top="0.75" bottom="0.75" header="0.3" footer="0.3"/>
  <pageSetup paperSize="9" orientation="portrait" horizontalDpi="4294967295" verticalDpi="4294967295"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76"/>
  <sheetViews>
    <sheetView showGridLines="0" topLeftCell="A34" workbookViewId="0">
      <selection activeCell="E6" sqref="E6"/>
    </sheetView>
  </sheetViews>
  <sheetFormatPr baseColWidth="10" defaultRowHeight="15" x14ac:dyDescent="0.25"/>
  <cols>
    <col min="1" max="1" width="5.28515625" style="164" customWidth="1"/>
    <col min="2" max="2" width="6.7109375" style="164" customWidth="1"/>
    <col min="3" max="3" width="10.7109375" style="164" customWidth="1"/>
    <col min="4" max="4" width="39.85546875" style="164" customWidth="1"/>
    <col min="5" max="5" width="39.140625" style="164" customWidth="1"/>
    <col min="6" max="6" width="10.28515625" style="164" customWidth="1"/>
    <col min="7" max="7" width="13.42578125" style="164" customWidth="1"/>
    <col min="8" max="8" width="11" style="164" customWidth="1"/>
    <col min="9" max="9" width="13" style="164" customWidth="1"/>
    <col min="10" max="10" width="12.5703125" style="164" customWidth="1"/>
    <col min="11" max="11" width="10.5703125" style="164" customWidth="1"/>
    <col min="12" max="13" width="12.5703125" style="164" customWidth="1"/>
    <col min="14" max="14" width="9.5703125" style="164" customWidth="1"/>
    <col min="15" max="15" width="7" style="164" customWidth="1"/>
    <col min="16" max="16" width="7.5703125" style="165" customWidth="1"/>
    <col min="17" max="17" width="10.7109375" style="165" customWidth="1"/>
    <col min="18" max="18" width="13.85546875" style="165" customWidth="1"/>
    <col min="19" max="19" width="18.85546875" style="165" customWidth="1"/>
    <col min="20" max="21" width="18.140625" style="165" customWidth="1"/>
    <col min="22" max="22" width="8.140625" style="165" customWidth="1"/>
    <col min="23" max="23" width="15.7109375" style="165" customWidth="1"/>
    <col min="24" max="24" width="15" style="165" customWidth="1"/>
    <col min="25" max="25" width="20.42578125" style="165" customWidth="1"/>
    <col min="26" max="27" width="19.7109375" style="165" customWidth="1"/>
    <col min="28" max="28" width="10.85546875" style="165" customWidth="1"/>
    <col min="29" max="29" width="10.42578125" style="165" customWidth="1"/>
    <col min="30" max="30" width="9.7109375" style="165" customWidth="1"/>
    <col min="31" max="31" width="10.5703125" style="165" customWidth="1"/>
    <col min="32" max="32" width="7" style="165" customWidth="1"/>
    <col min="33" max="33" width="7.140625" style="165" customWidth="1"/>
    <col min="34" max="34" width="15.42578125" style="165" customWidth="1"/>
    <col min="35" max="35" width="13.5703125" style="165" customWidth="1"/>
    <col min="36" max="36" width="13.42578125" style="165" customWidth="1"/>
    <col min="37" max="37" width="16.42578125" style="165" customWidth="1"/>
    <col min="38" max="38" width="13.85546875" style="165" customWidth="1"/>
    <col min="39" max="39" width="17" style="165" customWidth="1"/>
    <col min="40" max="40" width="15.5703125" style="165" customWidth="1"/>
    <col min="41" max="41" width="17.42578125" style="165" customWidth="1"/>
    <col min="42" max="42" width="13.85546875" style="165" customWidth="1"/>
    <col min="43" max="43" width="14.5703125" style="165" customWidth="1"/>
    <col min="44" max="44" width="16.5703125" style="165" customWidth="1"/>
    <col min="45" max="45" width="17.42578125" style="165" customWidth="1"/>
    <col min="46" max="46" width="13.85546875" style="166" customWidth="1"/>
    <col min="47" max="47" width="15.5703125" style="166" customWidth="1"/>
    <col min="48" max="48" width="17.5703125" style="166" customWidth="1"/>
    <col min="49" max="49" width="18.42578125" style="166" customWidth="1"/>
    <col min="50" max="50" width="14.85546875" style="165" customWidth="1"/>
    <col min="51" max="51" width="15.5703125" style="165" customWidth="1"/>
    <col min="52" max="52" width="17.5703125" style="165" customWidth="1"/>
    <col min="53" max="53" width="17.140625" style="165" customWidth="1"/>
    <col min="54" max="54" width="4.7109375" style="155" customWidth="1"/>
    <col min="55" max="55" width="11.42578125" style="164"/>
    <col min="56" max="56" width="44.42578125" style="164" customWidth="1"/>
    <col min="57" max="16384" width="11.42578125" style="164"/>
  </cols>
  <sheetData>
    <row r="1" spans="1:54" s="87" customFormat="1" ht="9.75" customHeight="1" x14ac:dyDescent="0.25">
      <c r="A1" s="183" t="s">
        <v>0</v>
      </c>
      <c r="B1" s="184" t="s">
        <v>1</v>
      </c>
      <c r="C1" s="184" t="s">
        <v>2</v>
      </c>
      <c r="D1" s="184" t="s">
        <v>3</v>
      </c>
      <c r="E1" s="184" t="s">
        <v>4</v>
      </c>
      <c r="F1" s="184" t="s">
        <v>5</v>
      </c>
      <c r="G1" s="184" t="s">
        <v>6</v>
      </c>
      <c r="H1" s="184" t="s">
        <v>322</v>
      </c>
      <c r="I1" s="184" t="s">
        <v>7</v>
      </c>
      <c r="J1" s="184" t="s">
        <v>8</v>
      </c>
      <c r="K1" s="184" t="s">
        <v>678</v>
      </c>
      <c r="L1" s="184" t="s">
        <v>9</v>
      </c>
      <c r="M1" s="184" t="s">
        <v>10</v>
      </c>
      <c r="N1" s="184" t="s">
        <v>11</v>
      </c>
      <c r="O1" s="184" t="s">
        <v>12</v>
      </c>
      <c r="P1" s="185" t="s">
        <v>13</v>
      </c>
      <c r="Q1" s="185" t="s">
        <v>14</v>
      </c>
      <c r="R1" s="185" t="s">
        <v>15</v>
      </c>
      <c r="S1" s="186" t="s">
        <v>16</v>
      </c>
      <c r="T1" s="186" t="s">
        <v>17</v>
      </c>
      <c r="U1" s="187" t="s">
        <v>18</v>
      </c>
      <c r="V1" s="188" t="s">
        <v>676</v>
      </c>
      <c r="W1" s="188" t="s">
        <v>19</v>
      </c>
      <c r="X1" s="188" t="s">
        <v>20</v>
      </c>
      <c r="Y1" s="189" t="s">
        <v>21</v>
      </c>
      <c r="Z1" s="189" t="s">
        <v>22</v>
      </c>
      <c r="AA1" s="190" t="s">
        <v>23</v>
      </c>
      <c r="AB1" s="151" t="s">
        <v>323</v>
      </c>
      <c r="AC1" s="152"/>
      <c r="AD1" s="152"/>
      <c r="AE1" s="153"/>
      <c r="AF1" s="191" t="s">
        <v>24</v>
      </c>
      <c r="AG1" s="192" t="s">
        <v>24</v>
      </c>
      <c r="AH1" s="193" t="s">
        <v>25</v>
      </c>
      <c r="AI1" s="194"/>
      <c r="AJ1" s="194"/>
      <c r="AK1" s="194"/>
      <c r="AL1" s="194"/>
      <c r="AM1" s="194"/>
      <c r="AN1" s="194"/>
      <c r="AO1" s="195"/>
      <c r="AP1" s="196" t="s">
        <v>26</v>
      </c>
      <c r="AQ1" s="197"/>
      <c r="AR1" s="197"/>
      <c r="AS1" s="197"/>
      <c r="AT1" s="197"/>
      <c r="AU1" s="197"/>
      <c r="AV1" s="197"/>
      <c r="AW1" s="198"/>
      <c r="AX1" s="199" t="s">
        <v>27</v>
      </c>
      <c r="AY1" s="200"/>
      <c r="AZ1" s="200"/>
      <c r="BA1" s="201"/>
      <c r="BB1" s="6"/>
    </row>
    <row r="2" spans="1:54" s="87" customFormat="1" ht="15" customHeight="1" x14ac:dyDescent="0.25">
      <c r="A2" s="202"/>
      <c r="B2" s="203"/>
      <c r="C2" s="203"/>
      <c r="D2" s="203"/>
      <c r="E2" s="203"/>
      <c r="F2" s="203"/>
      <c r="G2" s="203"/>
      <c r="H2" s="203"/>
      <c r="I2" s="203"/>
      <c r="J2" s="203"/>
      <c r="K2" s="203"/>
      <c r="L2" s="203"/>
      <c r="M2" s="203"/>
      <c r="N2" s="203"/>
      <c r="O2" s="203"/>
      <c r="P2" s="204"/>
      <c r="Q2" s="204"/>
      <c r="R2" s="204"/>
      <c r="S2" s="205"/>
      <c r="T2" s="205"/>
      <c r="U2" s="206"/>
      <c r="V2" s="207"/>
      <c r="W2" s="207"/>
      <c r="X2" s="207"/>
      <c r="Y2" s="208"/>
      <c r="Z2" s="208"/>
      <c r="AA2" s="209"/>
      <c r="AB2" s="48" t="s">
        <v>316</v>
      </c>
      <c r="AC2" s="179" t="s">
        <v>321</v>
      </c>
      <c r="AD2" s="180"/>
      <c r="AE2" s="7" t="s">
        <v>673</v>
      </c>
      <c r="AF2" s="210"/>
      <c r="AG2" s="211"/>
      <c r="AH2" s="181" t="s">
        <v>28</v>
      </c>
      <c r="AI2" s="181"/>
      <c r="AJ2" s="182"/>
      <c r="AK2" s="47" t="s">
        <v>29</v>
      </c>
      <c r="AL2" s="179" t="s">
        <v>30</v>
      </c>
      <c r="AM2" s="212"/>
      <c r="AN2" s="180"/>
      <c r="AO2" s="48" t="s">
        <v>29</v>
      </c>
      <c r="AP2" s="213" t="s">
        <v>31</v>
      </c>
      <c r="AQ2" s="214"/>
      <c r="AR2" s="215"/>
      <c r="AS2" s="46" t="s">
        <v>29</v>
      </c>
      <c r="AT2" s="216" t="s">
        <v>32</v>
      </c>
      <c r="AU2" s="217"/>
      <c r="AV2" s="218"/>
      <c r="AW2" s="49" t="s">
        <v>29</v>
      </c>
      <c r="AX2" s="219"/>
      <c r="AY2" s="220"/>
      <c r="AZ2" s="220"/>
      <c r="BA2" s="221"/>
      <c r="BB2" s="6"/>
    </row>
    <row r="3" spans="1:54" s="85" customFormat="1" ht="33.75" customHeight="1" thickBot="1" x14ac:dyDescent="0.3">
      <c r="A3" s="61" t="s">
        <v>0</v>
      </c>
      <c r="B3" s="62" t="s">
        <v>1</v>
      </c>
      <c r="C3" s="62" t="s">
        <v>2</v>
      </c>
      <c r="D3" s="62" t="s">
        <v>3</v>
      </c>
      <c r="E3" s="62" t="s">
        <v>4</v>
      </c>
      <c r="F3" s="62" t="s">
        <v>5</v>
      </c>
      <c r="G3" s="62" t="s">
        <v>6</v>
      </c>
      <c r="H3" s="62" t="s">
        <v>322</v>
      </c>
      <c r="I3" s="62" t="s">
        <v>7</v>
      </c>
      <c r="J3" s="62" t="s">
        <v>8</v>
      </c>
      <c r="K3" s="62" t="s">
        <v>674</v>
      </c>
      <c r="L3" s="62" t="s">
        <v>9</v>
      </c>
      <c r="M3" s="62" t="s">
        <v>10</v>
      </c>
      <c r="N3" s="62" t="s">
        <v>11</v>
      </c>
      <c r="O3" s="62" t="s">
        <v>12</v>
      </c>
      <c r="P3" s="62" t="s">
        <v>13</v>
      </c>
      <c r="Q3" s="62" t="s">
        <v>36</v>
      </c>
      <c r="R3" s="62" t="s">
        <v>15</v>
      </c>
      <c r="S3" s="62" t="s">
        <v>16</v>
      </c>
      <c r="T3" s="62" t="s">
        <v>17</v>
      </c>
      <c r="U3" s="62" t="s">
        <v>18</v>
      </c>
      <c r="V3" s="62" t="s">
        <v>677</v>
      </c>
      <c r="W3" s="62" t="s">
        <v>37</v>
      </c>
      <c r="X3" s="62" t="s">
        <v>38</v>
      </c>
      <c r="Y3" s="62" t="s">
        <v>39</v>
      </c>
      <c r="Z3" s="62" t="s">
        <v>40</v>
      </c>
      <c r="AA3" s="62" t="s">
        <v>23</v>
      </c>
      <c r="AB3" s="63" t="s">
        <v>316</v>
      </c>
      <c r="AC3" s="63" t="s">
        <v>318</v>
      </c>
      <c r="AD3" s="63" t="s">
        <v>317</v>
      </c>
      <c r="AE3" s="63" t="s">
        <v>675</v>
      </c>
      <c r="AF3" s="62" t="s">
        <v>24</v>
      </c>
      <c r="AG3" s="64" t="s">
        <v>315</v>
      </c>
      <c r="AH3" s="55" t="s">
        <v>33</v>
      </c>
      <c r="AI3" s="8" t="s">
        <v>34</v>
      </c>
      <c r="AJ3" s="8" t="s">
        <v>41</v>
      </c>
      <c r="AK3" s="8" t="s">
        <v>29</v>
      </c>
      <c r="AL3" s="8" t="s">
        <v>42</v>
      </c>
      <c r="AM3" s="8" t="s">
        <v>43</v>
      </c>
      <c r="AN3" s="8" t="s">
        <v>35</v>
      </c>
      <c r="AO3" s="8" t="s">
        <v>44</v>
      </c>
      <c r="AP3" s="8" t="s">
        <v>45</v>
      </c>
      <c r="AQ3" s="8" t="s">
        <v>46</v>
      </c>
      <c r="AR3" s="8" t="s">
        <v>47</v>
      </c>
      <c r="AS3" s="8" t="s">
        <v>48</v>
      </c>
      <c r="AT3" s="9" t="s">
        <v>49</v>
      </c>
      <c r="AU3" s="9" t="s">
        <v>50</v>
      </c>
      <c r="AV3" s="9" t="s">
        <v>51</v>
      </c>
      <c r="AW3" s="9" t="s">
        <v>52</v>
      </c>
      <c r="AX3" s="8" t="s">
        <v>53</v>
      </c>
      <c r="AY3" s="8" t="s">
        <v>54</v>
      </c>
      <c r="AZ3" s="8" t="s">
        <v>55</v>
      </c>
      <c r="BA3" s="8" t="s">
        <v>56</v>
      </c>
      <c r="BB3" s="10"/>
    </row>
    <row r="4" spans="1:54" s="154" customFormat="1" ht="25.5" x14ac:dyDescent="0.25">
      <c r="A4" s="56">
        <v>1</v>
      </c>
      <c r="B4" s="56" t="s">
        <v>68</v>
      </c>
      <c r="C4" s="56" t="s">
        <v>78</v>
      </c>
      <c r="D4" s="56" t="s">
        <v>79</v>
      </c>
      <c r="E4" s="56" t="s">
        <v>80</v>
      </c>
      <c r="F4" s="56" t="s">
        <v>71</v>
      </c>
      <c r="G4" s="56" t="s">
        <v>77</v>
      </c>
      <c r="H4" s="56" t="s">
        <v>60</v>
      </c>
      <c r="I4" s="56" t="s">
        <v>75</v>
      </c>
      <c r="J4" s="56" t="s">
        <v>81</v>
      </c>
      <c r="K4" s="56" t="s">
        <v>82</v>
      </c>
      <c r="L4" s="56">
        <v>-13.534287452699999</v>
      </c>
      <c r="M4" s="56">
        <v>-73.396041870120001</v>
      </c>
      <c r="N4" s="57">
        <v>2618</v>
      </c>
      <c r="O4" s="56">
        <v>1</v>
      </c>
      <c r="P4" s="58">
        <v>60</v>
      </c>
      <c r="Q4" s="58">
        <v>29</v>
      </c>
      <c r="R4" s="58">
        <v>31</v>
      </c>
      <c r="S4" s="58">
        <v>4</v>
      </c>
      <c r="T4" s="58">
        <v>6</v>
      </c>
      <c r="U4" s="58">
        <f>Tabla15[[#This Row],[Nº SOCIO JOVEN(M)]]+Tabla15[[#This Row],[Nº SOCIO JOVEN(F)]]</f>
        <v>10</v>
      </c>
      <c r="V4" s="58">
        <v>51</v>
      </c>
      <c r="W4" s="58">
        <v>23</v>
      </c>
      <c r="X4" s="58">
        <v>28</v>
      </c>
      <c r="Y4" s="58">
        <v>4</v>
      </c>
      <c r="Z4" s="58">
        <v>5</v>
      </c>
      <c r="AA4" s="58">
        <f>Tabla15[[#This Row],[Nº FAMILIA JOVEN(M)]]+Tabla15[[#This Row],[Nº FAMILIA JOVEN(F)]]</f>
        <v>9</v>
      </c>
      <c r="AB4" s="59">
        <v>40900</v>
      </c>
      <c r="AC4" s="59">
        <v>17100</v>
      </c>
      <c r="AD4" s="60">
        <v>0</v>
      </c>
      <c r="AE4" s="59">
        <v>58000</v>
      </c>
      <c r="AF4" s="58" t="s">
        <v>61</v>
      </c>
      <c r="AG4" s="58">
        <v>78.3</v>
      </c>
      <c r="AH4" s="15">
        <v>1100</v>
      </c>
      <c r="AI4" s="15">
        <v>1350</v>
      </c>
      <c r="AJ4" s="14">
        <v>250</v>
      </c>
      <c r="AK4" s="16">
        <f t="shared" ref="AK4:AK56" si="0">(AI4-AH4)/AH4</f>
        <v>0.22727272727272727</v>
      </c>
      <c r="AL4" s="15">
        <v>13200</v>
      </c>
      <c r="AM4" s="15">
        <v>20250</v>
      </c>
      <c r="AN4" s="15">
        <v>7050</v>
      </c>
      <c r="AO4" s="16">
        <f t="shared" ref="AO4:AO56" si="1">(AM4-AL4)/AL4</f>
        <v>0.53409090909090906</v>
      </c>
      <c r="AP4" s="14">
        <v>980</v>
      </c>
      <c r="AQ4" s="15">
        <v>1250</v>
      </c>
      <c r="AR4" s="14">
        <v>270</v>
      </c>
      <c r="AS4" s="16">
        <f t="shared" ref="AS4:AS56" si="2">(AQ4-AP4)/AP4</f>
        <v>0.27551020408163263</v>
      </c>
      <c r="AT4" s="15">
        <v>11760</v>
      </c>
      <c r="AU4" s="15">
        <v>18750</v>
      </c>
      <c r="AV4" s="15">
        <v>6990</v>
      </c>
      <c r="AW4" s="16">
        <f t="shared" ref="AW4:AW56" si="3">(AU4-AT4)/AT4</f>
        <v>0.59438775510204078</v>
      </c>
      <c r="AX4" s="15">
        <v>54910</v>
      </c>
      <c r="AY4" s="15">
        <v>38284</v>
      </c>
      <c r="AZ4" s="15">
        <v>38284</v>
      </c>
      <c r="BA4" s="16">
        <f t="shared" ref="BA4:BA56" si="4">AY4/AX4</f>
        <v>0.69721362229102168</v>
      </c>
      <c r="BB4" s="12"/>
    </row>
    <row r="5" spans="1:54" s="154" customFormat="1" ht="38.25" x14ac:dyDescent="0.25">
      <c r="A5" s="13">
        <v>2</v>
      </c>
      <c r="B5" s="13" t="s">
        <v>68</v>
      </c>
      <c r="C5" s="13" t="s">
        <v>83</v>
      </c>
      <c r="D5" s="13" t="s">
        <v>84</v>
      </c>
      <c r="E5" s="13" t="s">
        <v>85</v>
      </c>
      <c r="F5" s="13" t="s">
        <v>69</v>
      </c>
      <c r="G5" s="13" t="s">
        <v>86</v>
      </c>
      <c r="H5" s="13" t="s">
        <v>60</v>
      </c>
      <c r="I5" s="13" t="s">
        <v>75</v>
      </c>
      <c r="J5" s="13" t="s">
        <v>81</v>
      </c>
      <c r="K5" s="13" t="s">
        <v>87</v>
      </c>
      <c r="L5" s="13">
        <v>-13.55224895477</v>
      </c>
      <c r="M5" s="13">
        <v>-73.342323303219999</v>
      </c>
      <c r="N5" s="39">
        <v>3513</v>
      </c>
      <c r="O5" s="13">
        <v>1</v>
      </c>
      <c r="P5" s="14">
        <v>42</v>
      </c>
      <c r="Q5" s="14">
        <v>23</v>
      </c>
      <c r="R5" s="14">
        <v>19</v>
      </c>
      <c r="S5" s="14">
        <v>0</v>
      </c>
      <c r="T5" s="14">
        <v>3</v>
      </c>
      <c r="U5" s="14">
        <f>Tabla15[[#This Row],[Nº SOCIO JOVEN(M)]]+Tabla15[[#This Row],[Nº SOCIO JOVEN(F)]]</f>
        <v>3</v>
      </c>
      <c r="V5" s="14">
        <v>28</v>
      </c>
      <c r="W5" s="14">
        <v>22</v>
      </c>
      <c r="X5" s="14">
        <v>6</v>
      </c>
      <c r="Y5" s="14">
        <v>0</v>
      </c>
      <c r="Z5" s="14">
        <v>2</v>
      </c>
      <c r="AA5" s="14">
        <f>Tabla15[[#This Row],[Nº FAMILIA JOVEN(M)]]+Tabla15[[#This Row],[Nº FAMILIA JOVEN(F)]]</f>
        <v>2</v>
      </c>
      <c r="AB5" s="52">
        <v>29070</v>
      </c>
      <c r="AC5" s="52">
        <v>12030</v>
      </c>
      <c r="AD5" s="45">
        <v>0</v>
      </c>
      <c r="AE5" s="52">
        <v>41119.5</v>
      </c>
      <c r="AF5" s="14" t="s">
        <v>88</v>
      </c>
      <c r="AG5" s="14">
        <v>84.6</v>
      </c>
      <c r="AH5" s="15">
        <v>11000</v>
      </c>
      <c r="AI5" s="15">
        <v>15000</v>
      </c>
      <c r="AJ5" s="15">
        <v>4000</v>
      </c>
      <c r="AK5" s="16">
        <f t="shared" si="0"/>
        <v>0.36363636363636365</v>
      </c>
      <c r="AL5" s="15">
        <v>18700</v>
      </c>
      <c r="AM5" s="15">
        <v>30000</v>
      </c>
      <c r="AN5" s="15">
        <v>11300</v>
      </c>
      <c r="AO5" s="16">
        <f t="shared" si="1"/>
        <v>0.60427807486631013</v>
      </c>
      <c r="AP5" s="15">
        <v>9500</v>
      </c>
      <c r="AQ5" s="15">
        <v>12000</v>
      </c>
      <c r="AR5" s="15">
        <v>2500</v>
      </c>
      <c r="AS5" s="16">
        <f t="shared" si="2"/>
        <v>0.26315789473684209</v>
      </c>
      <c r="AT5" s="15">
        <v>16150</v>
      </c>
      <c r="AU5" s="15">
        <v>24000</v>
      </c>
      <c r="AV5" s="15">
        <v>7850</v>
      </c>
      <c r="AW5" s="16">
        <f t="shared" si="3"/>
        <v>0.48606811145510836</v>
      </c>
      <c r="AX5" s="15">
        <v>41000</v>
      </c>
      <c r="AY5" s="15">
        <v>24900</v>
      </c>
      <c r="AZ5" s="15">
        <v>24900</v>
      </c>
      <c r="BA5" s="16">
        <f t="shared" si="4"/>
        <v>0.60731707317073169</v>
      </c>
      <c r="BB5" s="12"/>
    </row>
    <row r="6" spans="1:54" s="154" customFormat="1" ht="51" x14ac:dyDescent="0.25">
      <c r="A6" s="13">
        <v>3</v>
      </c>
      <c r="B6" s="13" t="s">
        <v>68</v>
      </c>
      <c r="C6" s="13" t="s">
        <v>89</v>
      </c>
      <c r="D6" s="13" t="s">
        <v>90</v>
      </c>
      <c r="E6" s="13" t="s">
        <v>91</v>
      </c>
      <c r="F6" s="13" t="s">
        <v>71</v>
      </c>
      <c r="G6" s="13" t="s">
        <v>92</v>
      </c>
      <c r="H6" s="13" t="s">
        <v>60</v>
      </c>
      <c r="I6" s="13" t="s">
        <v>75</v>
      </c>
      <c r="J6" s="13" t="s">
        <v>81</v>
      </c>
      <c r="K6" s="13" t="s">
        <v>81</v>
      </c>
      <c r="L6" s="13">
        <v>-13.528211593629999</v>
      </c>
      <c r="M6" s="13">
        <v>-73.365753173830001</v>
      </c>
      <c r="N6" s="39">
        <v>2977</v>
      </c>
      <c r="O6" s="13">
        <v>1</v>
      </c>
      <c r="P6" s="14">
        <v>31</v>
      </c>
      <c r="Q6" s="14">
        <v>16</v>
      </c>
      <c r="R6" s="14">
        <v>15</v>
      </c>
      <c r="S6" s="14">
        <v>3</v>
      </c>
      <c r="T6" s="14">
        <v>4</v>
      </c>
      <c r="U6" s="14">
        <f>Tabla15[[#This Row],[Nº SOCIO JOVEN(M)]]+Tabla15[[#This Row],[Nº SOCIO JOVEN(F)]]</f>
        <v>7</v>
      </c>
      <c r="V6" s="14">
        <v>20</v>
      </c>
      <c r="W6" s="14">
        <v>11</v>
      </c>
      <c r="X6" s="14">
        <v>9</v>
      </c>
      <c r="Y6" s="14">
        <v>3</v>
      </c>
      <c r="Z6" s="14">
        <v>4</v>
      </c>
      <c r="AA6" s="14">
        <f>Tabla15[[#This Row],[Nº FAMILIA JOVEN(M)]]+Tabla15[[#This Row],[Nº FAMILIA JOVEN(F)]]</f>
        <v>7</v>
      </c>
      <c r="AB6" s="52">
        <v>26410</v>
      </c>
      <c r="AC6" s="52">
        <v>10890</v>
      </c>
      <c r="AD6" s="45">
        <v>0</v>
      </c>
      <c r="AE6" s="52">
        <v>37300.85</v>
      </c>
      <c r="AF6" s="14" t="s">
        <v>61</v>
      </c>
      <c r="AG6" s="14">
        <v>74.3</v>
      </c>
      <c r="AH6" s="15">
        <v>1120</v>
      </c>
      <c r="AI6" s="15">
        <v>1600</v>
      </c>
      <c r="AJ6" s="14">
        <v>480</v>
      </c>
      <c r="AK6" s="16">
        <f t="shared" si="0"/>
        <v>0.42857142857142855</v>
      </c>
      <c r="AL6" s="15">
        <v>7000</v>
      </c>
      <c r="AM6" s="15">
        <v>12000</v>
      </c>
      <c r="AN6" s="15">
        <v>5000</v>
      </c>
      <c r="AO6" s="16">
        <f t="shared" si="1"/>
        <v>0.7142857142857143</v>
      </c>
      <c r="AP6" s="14">
        <v>928</v>
      </c>
      <c r="AQ6" s="15">
        <v>1120</v>
      </c>
      <c r="AR6" s="14">
        <v>192</v>
      </c>
      <c r="AS6" s="16">
        <f t="shared" si="2"/>
        <v>0.20689655172413793</v>
      </c>
      <c r="AT6" s="15">
        <v>5800</v>
      </c>
      <c r="AU6" s="15">
        <v>8400</v>
      </c>
      <c r="AV6" s="15">
        <v>2600</v>
      </c>
      <c r="AW6" s="16">
        <f t="shared" si="3"/>
        <v>0.44827586206896552</v>
      </c>
      <c r="AX6" s="15">
        <v>63600</v>
      </c>
      <c r="AY6" s="15">
        <v>21200</v>
      </c>
      <c r="AZ6" s="15">
        <v>21200</v>
      </c>
      <c r="BA6" s="16">
        <f t="shared" si="4"/>
        <v>0.33333333333333331</v>
      </c>
      <c r="BB6" s="12"/>
    </row>
    <row r="7" spans="1:54" s="154" customFormat="1" ht="38.25" x14ac:dyDescent="0.25">
      <c r="A7" s="13">
        <v>4</v>
      </c>
      <c r="B7" s="13" t="s">
        <v>57</v>
      </c>
      <c r="C7" s="13" t="s">
        <v>93</v>
      </c>
      <c r="D7" s="13" t="s">
        <v>94</v>
      </c>
      <c r="E7" s="13" t="s">
        <v>95</v>
      </c>
      <c r="F7" s="13" t="s">
        <v>64</v>
      </c>
      <c r="G7" s="13" t="s">
        <v>96</v>
      </c>
      <c r="H7" s="13" t="s">
        <v>60</v>
      </c>
      <c r="I7" s="13" t="s">
        <v>75</v>
      </c>
      <c r="J7" s="13" t="s">
        <v>81</v>
      </c>
      <c r="K7" s="13" t="s">
        <v>97</v>
      </c>
      <c r="L7" s="13">
        <v>-13.535510063169999</v>
      </c>
      <c r="M7" s="13">
        <v>-73.363357543950002</v>
      </c>
      <c r="N7" s="39">
        <v>3071</v>
      </c>
      <c r="O7" s="13">
        <v>1</v>
      </c>
      <c r="P7" s="14">
        <v>40</v>
      </c>
      <c r="Q7" s="14">
        <v>25</v>
      </c>
      <c r="R7" s="14">
        <v>15</v>
      </c>
      <c r="S7" s="14">
        <v>6</v>
      </c>
      <c r="T7" s="14">
        <v>3</v>
      </c>
      <c r="U7" s="14">
        <f>Tabla15[[#This Row],[Nº SOCIO JOVEN(M)]]+Tabla15[[#This Row],[Nº SOCIO JOVEN(F)]]</f>
        <v>9</v>
      </c>
      <c r="V7" s="14">
        <v>40</v>
      </c>
      <c r="W7" s="14">
        <v>25</v>
      </c>
      <c r="X7" s="14">
        <v>15</v>
      </c>
      <c r="Y7" s="14">
        <v>6</v>
      </c>
      <c r="Z7" s="14">
        <v>3</v>
      </c>
      <c r="AA7" s="14">
        <f>Tabla15[[#This Row],[Nº FAMILIA JOVEN(M)]]+Tabla15[[#This Row],[Nº FAMILIA JOVEN(F)]]</f>
        <v>9</v>
      </c>
      <c r="AB7" s="52">
        <v>37200</v>
      </c>
      <c r="AC7" s="45">
        <v>0</v>
      </c>
      <c r="AD7" s="52">
        <v>8800</v>
      </c>
      <c r="AE7" s="52">
        <v>46005.95</v>
      </c>
      <c r="AF7" s="14" t="s">
        <v>61</v>
      </c>
      <c r="AG7" s="14">
        <v>75.2</v>
      </c>
      <c r="AH7" s="14">
        <v>0</v>
      </c>
      <c r="AI7" s="14">
        <v>0</v>
      </c>
      <c r="AJ7" s="14">
        <v>0</v>
      </c>
      <c r="AK7" s="16" t="e">
        <f t="shared" si="0"/>
        <v>#DIV/0!</v>
      </c>
      <c r="AL7" s="14">
        <v>0</v>
      </c>
      <c r="AM7" s="14">
        <v>0</v>
      </c>
      <c r="AN7" s="14">
        <v>0</v>
      </c>
      <c r="AO7" s="16" t="e">
        <f t="shared" si="1"/>
        <v>#DIV/0!</v>
      </c>
      <c r="AP7" s="14">
        <v>0</v>
      </c>
      <c r="AQ7" s="14">
        <v>0</v>
      </c>
      <c r="AR7" s="14">
        <v>0</v>
      </c>
      <c r="AS7" s="16" t="e">
        <f t="shared" si="2"/>
        <v>#DIV/0!</v>
      </c>
      <c r="AT7" s="14">
        <v>0</v>
      </c>
      <c r="AU7" s="14">
        <v>0</v>
      </c>
      <c r="AV7" s="14">
        <v>0</v>
      </c>
      <c r="AW7" s="16" t="e">
        <f t="shared" si="3"/>
        <v>#DIV/0!</v>
      </c>
      <c r="AX7" s="15">
        <v>50320</v>
      </c>
      <c r="AY7" s="15">
        <v>33440</v>
      </c>
      <c r="AZ7" s="15">
        <v>33440</v>
      </c>
      <c r="BA7" s="16">
        <f t="shared" si="4"/>
        <v>0.66454689984101745</v>
      </c>
      <c r="BB7" s="12"/>
    </row>
    <row r="8" spans="1:54" s="154" customFormat="1" ht="51" x14ac:dyDescent="0.25">
      <c r="A8" s="13">
        <v>5</v>
      </c>
      <c r="B8" s="13" t="s">
        <v>57</v>
      </c>
      <c r="C8" s="13" t="s">
        <v>107</v>
      </c>
      <c r="D8" s="13" t="s">
        <v>108</v>
      </c>
      <c r="E8" s="13" t="s">
        <v>109</v>
      </c>
      <c r="F8" s="13" t="s">
        <v>102</v>
      </c>
      <c r="G8" s="13" t="s">
        <v>110</v>
      </c>
      <c r="H8" s="13" t="s">
        <v>60</v>
      </c>
      <c r="I8" s="13" t="s">
        <v>75</v>
      </c>
      <c r="J8" s="13" t="s">
        <v>81</v>
      </c>
      <c r="K8" s="13" t="s">
        <v>111</v>
      </c>
      <c r="L8" s="13">
        <v>-13.477033615110001</v>
      </c>
      <c r="M8" s="13">
        <v>-73.372261047359999</v>
      </c>
      <c r="N8" s="39">
        <v>3159</v>
      </c>
      <c r="O8" s="13">
        <v>1</v>
      </c>
      <c r="P8" s="14">
        <v>61</v>
      </c>
      <c r="Q8" s="14">
        <v>31</v>
      </c>
      <c r="R8" s="14">
        <v>30</v>
      </c>
      <c r="S8" s="14">
        <v>7</v>
      </c>
      <c r="T8" s="14">
        <v>7</v>
      </c>
      <c r="U8" s="14">
        <f>Tabla15[[#This Row],[Nº SOCIO JOVEN(M)]]+Tabla15[[#This Row],[Nº SOCIO JOVEN(F)]]</f>
        <v>14</v>
      </c>
      <c r="V8" s="14">
        <v>35</v>
      </c>
      <c r="W8" s="14">
        <v>25</v>
      </c>
      <c r="X8" s="14">
        <v>10</v>
      </c>
      <c r="Y8" s="14">
        <v>7</v>
      </c>
      <c r="Z8" s="14">
        <v>1</v>
      </c>
      <c r="AA8" s="14">
        <f>Tabla15[[#This Row],[Nº FAMILIA JOVEN(M)]]+Tabla15[[#This Row],[Nº FAMILIA JOVEN(F)]]</f>
        <v>8</v>
      </c>
      <c r="AB8" s="52">
        <v>37200</v>
      </c>
      <c r="AC8" s="45">
        <v>0</v>
      </c>
      <c r="AD8" s="52">
        <v>8800</v>
      </c>
      <c r="AE8" s="52">
        <v>46000</v>
      </c>
      <c r="AF8" s="14" t="s">
        <v>61</v>
      </c>
      <c r="AG8" s="14">
        <v>73.3</v>
      </c>
      <c r="AH8" s="14">
        <v>0</v>
      </c>
      <c r="AI8" s="14">
        <v>0</v>
      </c>
      <c r="AJ8" s="14">
        <v>0</v>
      </c>
      <c r="AK8" s="16" t="e">
        <f t="shared" si="0"/>
        <v>#DIV/0!</v>
      </c>
      <c r="AL8" s="14">
        <v>0</v>
      </c>
      <c r="AM8" s="14">
        <v>0</v>
      </c>
      <c r="AN8" s="14">
        <v>0</v>
      </c>
      <c r="AO8" s="16" t="e">
        <f t="shared" si="1"/>
        <v>#DIV/0!</v>
      </c>
      <c r="AP8" s="14">
        <v>0</v>
      </c>
      <c r="AQ8" s="14">
        <v>0</v>
      </c>
      <c r="AR8" s="14">
        <v>0</v>
      </c>
      <c r="AS8" s="16" t="e">
        <f t="shared" si="2"/>
        <v>#DIV/0!</v>
      </c>
      <c r="AT8" s="14">
        <v>0</v>
      </c>
      <c r="AU8" s="14">
        <v>0</v>
      </c>
      <c r="AV8" s="14">
        <v>0</v>
      </c>
      <c r="AW8" s="16" t="e">
        <f t="shared" si="3"/>
        <v>#DIV/0!</v>
      </c>
      <c r="AX8" s="15">
        <v>57304</v>
      </c>
      <c r="AY8" s="15">
        <v>24308</v>
      </c>
      <c r="AZ8" s="15">
        <v>24308</v>
      </c>
      <c r="BA8" s="16">
        <f t="shared" si="4"/>
        <v>0.42419377355856486</v>
      </c>
      <c r="BB8" s="12"/>
    </row>
    <row r="9" spans="1:54" s="154" customFormat="1" ht="38.25" x14ac:dyDescent="0.25">
      <c r="A9" s="13">
        <v>6</v>
      </c>
      <c r="B9" s="13" t="s">
        <v>57</v>
      </c>
      <c r="C9" s="13" t="s">
        <v>112</v>
      </c>
      <c r="D9" s="13" t="s">
        <v>113</v>
      </c>
      <c r="E9" s="13" t="s">
        <v>114</v>
      </c>
      <c r="F9" s="13" t="s">
        <v>64</v>
      </c>
      <c r="G9" s="13" t="s">
        <v>65</v>
      </c>
      <c r="H9" s="13" t="s">
        <v>60</v>
      </c>
      <c r="I9" s="13" t="s">
        <v>100</v>
      </c>
      <c r="J9" s="13" t="s">
        <v>115</v>
      </c>
      <c r="K9" s="13" t="s">
        <v>116</v>
      </c>
      <c r="L9" s="13">
        <v>-13.560250282289999</v>
      </c>
      <c r="M9" s="13">
        <v>-73.48462677002</v>
      </c>
      <c r="N9" s="39">
        <v>3101</v>
      </c>
      <c r="O9" s="13">
        <v>2</v>
      </c>
      <c r="P9" s="14">
        <v>67</v>
      </c>
      <c r="Q9" s="14">
        <v>24</v>
      </c>
      <c r="R9" s="14">
        <v>43</v>
      </c>
      <c r="S9" s="14">
        <v>1</v>
      </c>
      <c r="T9" s="14">
        <v>8</v>
      </c>
      <c r="U9" s="14">
        <f>Tabla15[[#This Row],[Nº SOCIO JOVEN(M)]]+Tabla15[[#This Row],[Nº SOCIO JOVEN(F)]]</f>
        <v>9</v>
      </c>
      <c r="V9" s="14">
        <v>28</v>
      </c>
      <c r="W9" s="14">
        <v>24</v>
      </c>
      <c r="X9" s="14">
        <v>4</v>
      </c>
      <c r="Y9" s="14">
        <v>1</v>
      </c>
      <c r="Z9" s="14">
        <v>1</v>
      </c>
      <c r="AA9" s="14">
        <f>Tabla15[[#This Row],[Nº FAMILIA JOVEN(M)]]+Tabla15[[#This Row],[Nº FAMILIA JOVEN(F)]]</f>
        <v>2</v>
      </c>
      <c r="AB9" s="52">
        <v>37680</v>
      </c>
      <c r="AC9" s="45">
        <v>0</v>
      </c>
      <c r="AD9" s="52">
        <v>8920</v>
      </c>
      <c r="AE9" s="52">
        <v>46624.31</v>
      </c>
      <c r="AF9" s="14" t="s">
        <v>63</v>
      </c>
      <c r="AG9" s="14">
        <v>69.900000000000006</v>
      </c>
      <c r="AH9" s="14">
        <v>0</v>
      </c>
      <c r="AI9" s="14">
        <v>0</v>
      </c>
      <c r="AJ9" s="14">
        <v>0</v>
      </c>
      <c r="AK9" s="16" t="e">
        <f t="shared" si="0"/>
        <v>#DIV/0!</v>
      </c>
      <c r="AL9" s="14">
        <v>0</v>
      </c>
      <c r="AM9" s="14">
        <v>0</v>
      </c>
      <c r="AN9" s="14">
        <v>0</v>
      </c>
      <c r="AO9" s="16" t="e">
        <f t="shared" si="1"/>
        <v>#DIV/0!</v>
      </c>
      <c r="AP9" s="14">
        <v>0</v>
      </c>
      <c r="AQ9" s="14">
        <v>0</v>
      </c>
      <c r="AR9" s="14">
        <v>0</v>
      </c>
      <c r="AS9" s="16" t="e">
        <f t="shared" si="2"/>
        <v>#DIV/0!</v>
      </c>
      <c r="AT9" s="14">
        <v>0</v>
      </c>
      <c r="AU9" s="14">
        <v>0</v>
      </c>
      <c r="AV9" s="14">
        <v>0</v>
      </c>
      <c r="AW9" s="16" t="e">
        <f t="shared" si="3"/>
        <v>#DIV/0!</v>
      </c>
      <c r="AX9" s="15">
        <v>92500</v>
      </c>
      <c r="AY9" s="15">
        <v>31520</v>
      </c>
      <c r="AZ9" s="15">
        <v>31520</v>
      </c>
      <c r="BA9" s="16">
        <f t="shared" si="4"/>
        <v>0.34075675675675676</v>
      </c>
      <c r="BB9" s="12"/>
    </row>
    <row r="10" spans="1:54" s="154" customFormat="1" ht="38.25" x14ac:dyDescent="0.25">
      <c r="A10" s="13">
        <v>7</v>
      </c>
      <c r="B10" s="13" t="s">
        <v>68</v>
      </c>
      <c r="C10" s="13" t="s">
        <v>117</v>
      </c>
      <c r="D10" s="13" t="s">
        <v>118</v>
      </c>
      <c r="E10" s="13" t="s">
        <v>119</v>
      </c>
      <c r="F10" s="13" t="s">
        <v>71</v>
      </c>
      <c r="G10" s="13" t="s">
        <v>92</v>
      </c>
      <c r="H10" s="13" t="s">
        <v>60</v>
      </c>
      <c r="I10" s="13" t="s">
        <v>75</v>
      </c>
      <c r="J10" s="13" t="s">
        <v>120</v>
      </c>
      <c r="K10" s="13" t="s">
        <v>120</v>
      </c>
      <c r="L10" s="13">
        <v>-13.53239345551</v>
      </c>
      <c r="M10" s="13">
        <v>-73.288635253910002</v>
      </c>
      <c r="N10" s="39">
        <v>3117</v>
      </c>
      <c r="O10" s="13">
        <v>2</v>
      </c>
      <c r="P10" s="14">
        <v>35</v>
      </c>
      <c r="Q10" s="14">
        <v>15</v>
      </c>
      <c r="R10" s="14">
        <v>20</v>
      </c>
      <c r="S10" s="14">
        <v>2</v>
      </c>
      <c r="T10" s="14">
        <v>4</v>
      </c>
      <c r="U10" s="14">
        <f>Tabla15[[#This Row],[Nº SOCIO JOVEN(M)]]+Tabla15[[#This Row],[Nº SOCIO JOVEN(F)]]</f>
        <v>6</v>
      </c>
      <c r="V10" s="14">
        <v>24</v>
      </c>
      <c r="W10" s="14">
        <v>15</v>
      </c>
      <c r="X10" s="14">
        <v>9</v>
      </c>
      <c r="Y10" s="14">
        <v>2</v>
      </c>
      <c r="Z10" s="14">
        <v>2</v>
      </c>
      <c r="AA10" s="14">
        <f>Tabla15[[#This Row],[Nº FAMILIA JOVEN(M)]]+Tabla15[[#This Row],[Nº FAMILIA JOVEN(F)]]</f>
        <v>4</v>
      </c>
      <c r="AB10" s="52">
        <v>61400</v>
      </c>
      <c r="AC10" s="52">
        <v>24600</v>
      </c>
      <c r="AD10" s="45">
        <v>0</v>
      </c>
      <c r="AE10" s="52">
        <v>86000</v>
      </c>
      <c r="AF10" s="14" t="s">
        <v>61</v>
      </c>
      <c r="AG10" s="14">
        <v>79.900000000000006</v>
      </c>
      <c r="AH10" s="14">
        <v>825</v>
      </c>
      <c r="AI10" s="15">
        <v>1110</v>
      </c>
      <c r="AJ10" s="14">
        <v>285</v>
      </c>
      <c r="AK10" s="16">
        <f t="shared" si="0"/>
        <v>0.34545454545454546</v>
      </c>
      <c r="AL10" s="15">
        <v>6600</v>
      </c>
      <c r="AM10" s="15">
        <v>8877</v>
      </c>
      <c r="AN10" s="15">
        <v>2277</v>
      </c>
      <c r="AO10" s="16">
        <f t="shared" si="1"/>
        <v>0.34499999999999997</v>
      </c>
      <c r="AP10" s="14">
        <v>800</v>
      </c>
      <c r="AQ10" s="15">
        <v>1100</v>
      </c>
      <c r="AR10" s="14">
        <v>300</v>
      </c>
      <c r="AS10" s="16">
        <f t="shared" si="2"/>
        <v>0.375</v>
      </c>
      <c r="AT10" s="15">
        <v>6400</v>
      </c>
      <c r="AU10" s="15">
        <v>8800</v>
      </c>
      <c r="AV10" s="15">
        <v>2400</v>
      </c>
      <c r="AW10" s="16">
        <f t="shared" si="3"/>
        <v>0.375</v>
      </c>
      <c r="AX10" s="15">
        <v>88800</v>
      </c>
      <c r="AY10" s="15">
        <v>59630</v>
      </c>
      <c r="AZ10" s="15">
        <v>59630</v>
      </c>
      <c r="BA10" s="16">
        <f t="shared" si="4"/>
        <v>0.67150900900900901</v>
      </c>
      <c r="BB10" s="12"/>
    </row>
    <row r="11" spans="1:54" s="154" customFormat="1" ht="25.5" x14ac:dyDescent="0.25">
      <c r="A11" s="13">
        <v>8</v>
      </c>
      <c r="B11" s="13" t="s">
        <v>68</v>
      </c>
      <c r="C11" s="13" t="s">
        <v>123</v>
      </c>
      <c r="D11" s="13" t="s">
        <v>124</v>
      </c>
      <c r="E11" s="13" t="s">
        <v>125</v>
      </c>
      <c r="F11" s="13" t="s">
        <v>71</v>
      </c>
      <c r="G11" s="13" t="s">
        <v>72</v>
      </c>
      <c r="H11" s="13" t="s">
        <v>60</v>
      </c>
      <c r="I11" s="13" t="s">
        <v>100</v>
      </c>
      <c r="J11" s="13" t="s">
        <v>115</v>
      </c>
      <c r="K11" s="13" t="s">
        <v>126</v>
      </c>
      <c r="L11" s="13">
        <v>-13.479425430299999</v>
      </c>
      <c r="M11" s="13">
        <v>-73.549438476559999</v>
      </c>
      <c r="N11" s="39">
        <v>2968</v>
      </c>
      <c r="O11" s="13">
        <v>2</v>
      </c>
      <c r="P11" s="14">
        <v>42</v>
      </c>
      <c r="Q11" s="14">
        <v>13</v>
      </c>
      <c r="R11" s="14">
        <v>29</v>
      </c>
      <c r="S11" s="14">
        <v>3</v>
      </c>
      <c r="T11" s="14">
        <v>5</v>
      </c>
      <c r="U11" s="14">
        <f>Tabla15[[#This Row],[Nº SOCIO JOVEN(M)]]+Tabla15[[#This Row],[Nº SOCIO JOVEN(F)]]</f>
        <v>8</v>
      </c>
      <c r="V11" s="14">
        <v>30</v>
      </c>
      <c r="W11" s="14">
        <v>4</v>
      </c>
      <c r="X11" s="14">
        <v>26</v>
      </c>
      <c r="Y11" s="14">
        <v>1</v>
      </c>
      <c r="Z11" s="14">
        <v>5</v>
      </c>
      <c r="AA11" s="14">
        <f>Tabla15[[#This Row],[Nº FAMILIA JOVEN(M)]]+Tabla15[[#This Row],[Nº FAMILIA JOVEN(F)]]</f>
        <v>6</v>
      </c>
      <c r="AB11" s="52">
        <v>41754</v>
      </c>
      <c r="AC11" s="52">
        <v>18996</v>
      </c>
      <c r="AD11" s="45">
        <v>0</v>
      </c>
      <c r="AE11" s="52">
        <v>60767.43</v>
      </c>
      <c r="AF11" s="14" t="s">
        <v>61</v>
      </c>
      <c r="AG11" s="14">
        <v>70</v>
      </c>
      <c r="AH11" s="15">
        <v>1080</v>
      </c>
      <c r="AI11" s="15">
        <v>1620</v>
      </c>
      <c r="AJ11" s="14">
        <v>540</v>
      </c>
      <c r="AK11" s="16">
        <f t="shared" si="0"/>
        <v>0.5</v>
      </c>
      <c r="AL11" s="15">
        <v>16800</v>
      </c>
      <c r="AM11" s="15">
        <v>25200</v>
      </c>
      <c r="AN11" s="15">
        <v>8400</v>
      </c>
      <c r="AO11" s="16">
        <f t="shared" si="1"/>
        <v>0.5</v>
      </c>
      <c r="AP11" s="14">
        <v>810</v>
      </c>
      <c r="AQ11" s="15">
        <v>1296</v>
      </c>
      <c r="AR11" s="14">
        <v>486</v>
      </c>
      <c r="AS11" s="16">
        <f t="shared" si="2"/>
        <v>0.6</v>
      </c>
      <c r="AT11" s="15">
        <v>12600</v>
      </c>
      <c r="AU11" s="15">
        <v>20160</v>
      </c>
      <c r="AV11" s="15">
        <v>7560</v>
      </c>
      <c r="AW11" s="16">
        <f t="shared" si="3"/>
        <v>0.6</v>
      </c>
      <c r="AX11" s="15">
        <v>52500</v>
      </c>
      <c r="AY11" s="15">
        <v>34350</v>
      </c>
      <c r="AZ11" s="15">
        <v>34350</v>
      </c>
      <c r="BA11" s="16">
        <f t="shared" si="4"/>
        <v>0.65428571428571425</v>
      </c>
      <c r="BB11" s="12"/>
    </row>
    <row r="12" spans="1:54" s="154" customFormat="1" ht="38.25" x14ac:dyDescent="0.25">
      <c r="A12" s="13">
        <v>9</v>
      </c>
      <c r="B12" s="13" t="s">
        <v>68</v>
      </c>
      <c r="C12" s="13" t="s">
        <v>127</v>
      </c>
      <c r="D12" s="13" t="s">
        <v>128</v>
      </c>
      <c r="E12" s="13" t="s">
        <v>129</v>
      </c>
      <c r="F12" s="13" t="s">
        <v>71</v>
      </c>
      <c r="G12" s="13" t="s">
        <v>77</v>
      </c>
      <c r="H12" s="13" t="s">
        <v>60</v>
      </c>
      <c r="I12" s="13" t="s">
        <v>75</v>
      </c>
      <c r="J12" s="13" t="s">
        <v>81</v>
      </c>
      <c r="K12" s="13" t="s">
        <v>130</v>
      </c>
      <c r="L12" s="13">
        <v>-13.52082061768</v>
      </c>
      <c r="M12" s="13">
        <v>-73.363395690920001</v>
      </c>
      <c r="N12" s="39">
        <v>2909</v>
      </c>
      <c r="O12" s="13">
        <v>1</v>
      </c>
      <c r="P12" s="14">
        <v>21</v>
      </c>
      <c r="Q12" s="14">
        <v>10</v>
      </c>
      <c r="R12" s="14">
        <v>11</v>
      </c>
      <c r="S12" s="14">
        <v>1</v>
      </c>
      <c r="T12" s="14">
        <v>2</v>
      </c>
      <c r="U12" s="14">
        <f>Tabla15[[#This Row],[Nº SOCIO JOVEN(M)]]+Tabla15[[#This Row],[Nº SOCIO JOVEN(F)]]</f>
        <v>3</v>
      </c>
      <c r="V12" s="14">
        <v>12</v>
      </c>
      <c r="W12" s="14">
        <v>10</v>
      </c>
      <c r="X12" s="14">
        <v>2</v>
      </c>
      <c r="Y12" s="14">
        <v>1</v>
      </c>
      <c r="Z12" s="14">
        <v>1</v>
      </c>
      <c r="AA12" s="14">
        <f>Tabla15[[#This Row],[Nº FAMILIA JOVEN(M)]]+Tabla15[[#This Row],[Nº FAMILIA JOVEN(F)]]</f>
        <v>2</v>
      </c>
      <c r="AB12" s="52">
        <v>20600</v>
      </c>
      <c r="AC12" s="52">
        <v>8400</v>
      </c>
      <c r="AD12" s="45">
        <v>0</v>
      </c>
      <c r="AE12" s="52">
        <v>29000</v>
      </c>
      <c r="AF12" s="14" t="s">
        <v>61</v>
      </c>
      <c r="AG12" s="14">
        <v>70.400000000000006</v>
      </c>
      <c r="AH12" s="14">
        <v>500</v>
      </c>
      <c r="AI12" s="14">
        <v>700</v>
      </c>
      <c r="AJ12" s="14">
        <v>200</v>
      </c>
      <c r="AK12" s="16">
        <f t="shared" si="0"/>
        <v>0.4</v>
      </c>
      <c r="AL12" s="15">
        <v>5500</v>
      </c>
      <c r="AM12" s="15">
        <v>8400</v>
      </c>
      <c r="AN12" s="15">
        <v>2900</v>
      </c>
      <c r="AO12" s="16">
        <f t="shared" si="1"/>
        <v>0.52727272727272723</v>
      </c>
      <c r="AP12" s="14">
        <v>400</v>
      </c>
      <c r="AQ12" s="14">
        <v>650</v>
      </c>
      <c r="AR12" s="14">
        <v>250</v>
      </c>
      <c r="AS12" s="16">
        <f t="shared" si="2"/>
        <v>0.625</v>
      </c>
      <c r="AT12" s="15">
        <v>4400</v>
      </c>
      <c r="AU12" s="15">
        <v>7800</v>
      </c>
      <c r="AV12" s="15">
        <v>3400</v>
      </c>
      <c r="AW12" s="16">
        <f t="shared" si="3"/>
        <v>0.77272727272727271</v>
      </c>
      <c r="AX12" s="15">
        <v>53800</v>
      </c>
      <c r="AY12" s="15">
        <v>15160</v>
      </c>
      <c r="AZ12" s="15">
        <v>15160</v>
      </c>
      <c r="BA12" s="16">
        <f t="shared" si="4"/>
        <v>0.28178438661710037</v>
      </c>
      <c r="BB12" s="12"/>
    </row>
    <row r="13" spans="1:54" s="154" customFormat="1" ht="63.75" x14ac:dyDescent="0.25">
      <c r="A13" s="13">
        <v>10</v>
      </c>
      <c r="B13" s="13" t="s">
        <v>57</v>
      </c>
      <c r="C13" s="13" t="s">
        <v>131</v>
      </c>
      <c r="D13" s="13" t="s">
        <v>132</v>
      </c>
      <c r="E13" s="13" t="s">
        <v>133</v>
      </c>
      <c r="F13" s="13" t="s">
        <v>62</v>
      </c>
      <c r="G13" s="13" t="s">
        <v>134</v>
      </c>
      <c r="H13" s="13" t="s">
        <v>60</v>
      </c>
      <c r="I13" s="13" t="s">
        <v>75</v>
      </c>
      <c r="J13" s="13" t="s">
        <v>81</v>
      </c>
      <c r="K13" s="13" t="s">
        <v>135</v>
      </c>
      <c r="L13" s="13">
        <v>-13.54908370972</v>
      </c>
      <c r="M13" s="13">
        <v>-73.363632202150001</v>
      </c>
      <c r="N13" s="39">
        <v>3331</v>
      </c>
      <c r="O13" s="13">
        <v>1</v>
      </c>
      <c r="P13" s="14">
        <v>67</v>
      </c>
      <c r="Q13" s="14">
        <v>32</v>
      </c>
      <c r="R13" s="14">
        <v>35</v>
      </c>
      <c r="S13" s="14">
        <v>6</v>
      </c>
      <c r="T13" s="14">
        <v>6</v>
      </c>
      <c r="U13" s="14">
        <f>Tabla15[[#This Row],[Nº SOCIO JOVEN(M)]]+Tabla15[[#This Row],[Nº SOCIO JOVEN(F)]]</f>
        <v>12</v>
      </c>
      <c r="V13" s="14">
        <v>28</v>
      </c>
      <c r="W13" s="14">
        <v>22</v>
      </c>
      <c r="X13" s="14">
        <v>6</v>
      </c>
      <c r="Y13" s="14">
        <v>4</v>
      </c>
      <c r="Z13" s="14">
        <v>1</v>
      </c>
      <c r="AA13" s="14">
        <f>Tabla15[[#This Row],[Nº FAMILIA JOVEN(M)]]+Tabla15[[#This Row],[Nº FAMILIA JOVEN(F)]]</f>
        <v>5</v>
      </c>
      <c r="AB13" s="52">
        <v>37680</v>
      </c>
      <c r="AC13" s="45">
        <v>2.2000000000000002</v>
      </c>
      <c r="AD13" s="52">
        <v>8920</v>
      </c>
      <c r="AE13" s="52">
        <v>46602.2</v>
      </c>
      <c r="AF13" s="14" t="s">
        <v>61</v>
      </c>
      <c r="AG13" s="14">
        <v>72.8</v>
      </c>
      <c r="AH13" s="14">
        <v>0</v>
      </c>
      <c r="AI13" s="14">
        <v>0</v>
      </c>
      <c r="AJ13" s="14">
        <v>0</v>
      </c>
      <c r="AK13" s="16" t="e">
        <f t="shared" si="0"/>
        <v>#DIV/0!</v>
      </c>
      <c r="AL13" s="14">
        <v>0</v>
      </c>
      <c r="AM13" s="14">
        <v>0</v>
      </c>
      <c r="AN13" s="14">
        <v>0</v>
      </c>
      <c r="AO13" s="16" t="e">
        <f t="shared" si="1"/>
        <v>#DIV/0!</v>
      </c>
      <c r="AP13" s="14">
        <v>0</v>
      </c>
      <c r="AQ13" s="14">
        <v>0</v>
      </c>
      <c r="AR13" s="14">
        <v>0</v>
      </c>
      <c r="AS13" s="16" t="e">
        <f t="shared" si="2"/>
        <v>#DIV/0!</v>
      </c>
      <c r="AT13" s="14">
        <v>0</v>
      </c>
      <c r="AU13" s="14">
        <v>0</v>
      </c>
      <c r="AV13" s="14">
        <v>0</v>
      </c>
      <c r="AW13" s="16" t="e">
        <f t="shared" si="3"/>
        <v>#DIV/0!</v>
      </c>
      <c r="AX13" s="15">
        <v>38800</v>
      </c>
      <c r="AY13" s="15">
        <v>33896</v>
      </c>
      <c r="AZ13" s="15">
        <v>33896</v>
      </c>
      <c r="BA13" s="16">
        <f t="shared" si="4"/>
        <v>0.8736082474226804</v>
      </c>
      <c r="BB13" s="12"/>
    </row>
    <row r="14" spans="1:54" s="154" customFormat="1" ht="25.5" x14ac:dyDescent="0.25">
      <c r="A14" s="13">
        <v>11</v>
      </c>
      <c r="B14" s="13" t="s">
        <v>68</v>
      </c>
      <c r="C14" s="13" t="s">
        <v>136</v>
      </c>
      <c r="D14" s="13" t="s">
        <v>137</v>
      </c>
      <c r="E14" s="13" t="s">
        <v>138</v>
      </c>
      <c r="F14" s="13" t="s">
        <v>76</v>
      </c>
      <c r="G14" s="13" t="s">
        <v>121</v>
      </c>
      <c r="H14" s="13" t="s">
        <v>60</v>
      </c>
      <c r="I14" s="13" t="s">
        <v>75</v>
      </c>
      <c r="J14" s="13" t="s">
        <v>120</v>
      </c>
      <c r="K14" s="13" t="s">
        <v>120</v>
      </c>
      <c r="L14" s="13">
        <v>-13.53239345551</v>
      </c>
      <c r="M14" s="13">
        <v>-73.288635253910002</v>
      </c>
      <c r="N14" s="39">
        <v>3117</v>
      </c>
      <c r="O14" s="13">
        <v>2</v>
      </c>
      <c r="P14" s="14">
        <v>27</v>
      </c>
      <c r="Q14" s="14">
        <v>10</v>
      </c>
      <c r="R14" s="14">
        <v>17</v>
      </c>
      <c r="S14" s="14">
        <v>1</v>
      </c>
      <c r="T14" s="14">
        <v>4</v>
      </c>
      <c r="U14" s="14">
        <f>Tabla15[[#This Row],[Nº SOCIO JOVEN(M)]]+Tabla15[[#This Row],[Nº SOCIO JOVEN(F)]]</f>
        <v>5</v>
      </c>
      <c r="V14" s="14">
        <v>16</v>
      </c>
      <c r="W14" s="14">
        <v>9</v>
      </c>
      <c r="X14" s="14">
        <v>7</v>
      </c>
      <c r="Y14" s="14">
        <v>1</v>
      </c>
      <c r="Z14" s="14">
        <v>2</v>
      </c>
      <c r="AA14" s="14">
        <f>Tabla15[[#This Row],[Nº FAMILIA JOVEN(M)]]+Tabla15[[#This Row],[Nº FAMILIA JOVEN(F)]]</f>
        <v>3</v>
      </c>
      <c r="AB14" s="52">
        <v>51400</v>
      </c>
      <c r="AC14" s="52">
        <v>21600</v>
      </c>
      <c r="AD14" s="45">
        <v>0</v>
      </c>
      <c r="AE14" s="52">
        <v>73000</v>
      </c>
      <c r="AF14" s="14" t="s">
        <v>61</v>
      </c>
      <c r="AG14" s="14">
        <v>70</v>
      </c>
      <c r="AH14" s="15">
        <v>28800</v>
      </c>
      <c r="AI14" s="15">
        <v>40000</v>
      </c>
      <c r="AJ14" s="15">
        <v>11200</v>
      </c>
      <c r="AK14" s="16">
        <f t="shared" si="0"/>
        <v>0.3888888888888889</v>
      </c>
      <c r="AL14" s="15">
        <v>51840</v>
      </c>
      <c r="AM14" s="15">
        <v>72000</v>
      </c>
      <c r="AN14" s="15">
        <v>20160</v>
      </c>
      <c r="AO14" s="16">
        <f t="shared" si="1"/>
        <v>0.3888888888888889</v>
      </c>
      <c r="AP14" s="15">
        <v>25000</v>
      </c>
      <c r="AQ14" s="15">
        <v>35000</v>
      </c>
      <c r="AR14" s="15">
        <v>10000</v>
      </c>
      <c r="AS14" s="16">
        <f t="shared" si="2"/>
        <v>0.4</v>
      </c>
      <c r="AT14" s="15">
        <v>45000</v>
      </c>
      <c r="AU14" s="15">
        <v>63000</v>
      </c>
      <c r="AV14" s="15">
        <v>18000</v>
      </c>
      <c r="AW14" s="16">
        <f t="shared" si="3"/>
        <v>0.4</v>
      </c>
      <c r="AX14" s="15">
        <v>118000</v>
      </c>
      <c r="AY14" s="15">
        <v>43245</v>
      </c>
      <c r="AZ14" s="15">
        <v>43245</v>
      </c>
      <c r="BA14" s="16">
        <f t="shared" si="4"/>
        <v>0.36648305084745764</v>
      </c>
      <c r="BB14" s="12"/>
    </row>
    <row r="15" spans="1:54" s="154" customFormat="1" ht="38.25" x14ac:dyDescent="0.25">
      <c r="A15" s="13">
        <v>12</v>
      </c>
      <c r="B15" s="13" t="s">
        <v>68</v>
      </c>
      <c r="C15" s="13" t="s">
        <v>144</v>
      </c>
      <c r="D15" s="13" t="s">
        <v>145</v>
      </c>
      <c r="E15" s="13" t="s">
        <v>146</v>
      </c>
      <c r="F15" s="13" t="s">
        <v>71</v>
      </c>
      <c r="G15" s="13" t="s">
        <v>141</v>
      </c>
      <c r="H15" s="13" t="s">
        <v>60</v>
      </c>
      <c r="I15" s="13" t="s">
        <v>75</v>
      </c>
      <c r="J15" s="13" t="s">
        <v>120</v>
      </c>
      <c r="K15" s="13" t="s">
        <v>120</v>
      </c>
      <c r="L15" s="13">
        <v>-13.53239345551</v>
      </c>
      <c r="M15" s="13">
        <v>-73.288635253910002</v>
      </c>
      <c r="N15" s="39">
        <v>3117</v>
      </c>
      <c r="O15" s="13">
        <v>2</v>
      </c>
      <c r="P15" s="14">
        <v>44</v>
      </c>
      <c r="Q15" s="14">
        <v>21</v>
      </c>
      <c r="R15" s="14">
        <v>23</v>
      </c>
      <c r="S15" s="14">
        <v>1</v>
      </c>
      <c r="T15" s="14">
        <v>1</v>
      </c>
      <c r="U15" s="14">
        <f>Tabla15[[#This Row],[Nº SOCIO JOVEN(M)]]+Tabla15[[#This Row],[Nº SOCIO JOVEN(F)]]</f>
        <v>2</v>
      </c>
      <c r="V15" s="14">
        <v>29</v>
      </c>
      <c r="W15" s="14">
        <v>15</v>
      </c>
      <c r="X15" s="14">
        <v>14</v>
      </c>
      <c r="Y15" s="14">
        <v>1</v>
      </c>
      <c r="Z15" s="14">
        <v>0</v>
      </c>
      <c r="AA15" s="14">
        <f>Tabla15[[#This Row],[Nº FAMILIA JOVEN(M)]]+Tabla15[[#This Row],[Nº FAMILIA JOVEN(F)]]</f>
        <v>1</v>
      </c>
      <c r="AB15" s="52">
        <v>69000</v>
      </c>
      <c r="AC15" s="52">
        <v>29003.33</v>
      </c>
      <c r="AD15" s="45">
        <v>0</v>
      </c>
      <c r="AE15" s="52">
        <v>98003.33</v>
      </c>
      <c r="AF15" s="14" t="s">
        <v>61</v>
      </c>
      <c r="AG15" s="14">
        <v>70.400000000000006</v>
      </c>
      <c r="AH15" s="15">
        <v>45000</v>
      </c>
      <c r="AI15" s="15">
        <v>60000</v>
      </c>
      <c r="AJ15" s="15">
        <v>15000</v>
      </c>
      <c r="AK15" s="16">
        <f t="shared" si="0"/>
        <v>0.33333333333333331</v>
      </c>
      <c r="AL15" s="15">
        <v>67500</v>
      </c>
      <c r="AM15" s="15">
        <v>108000</v>
      </c>
      <c r="AN15" s="15">
        <v>40500</v>
      </c>
      <c r="AO15" s="16">
        <f t="shared" si="1"/>
        <v>0.6</v>
      </c>
      <c r="AP15" s="15">
        <v>44000</v>
      </c>
      <c r="AQ15" s="15">
        <v>55000</v>
      </c>
      <c r="AR15" s="15">
        <v>11000</v>
      </c>
      <c r="AS15" s="16">
        <f t="shared" si="2"/>
        <v>0.25</v>
      </c>
      <c r="AT15" s="15">
        <v>66000</v>
      </c>
      <c r="AU15" s="15">
        <v>99000</v>
      </c>
      <c r="AV15" s="15">
        <v>33000</v>
      </c>
      <c r="AW15" s="16">
        <f t="shared" si="3"/>
        <v>0.5</v>
      </c>
      <c r="AX15" s="15">
        <v>173650</v>
      </c>
      <c r="AY15" s="15">
        <v>59129</v>
      </c>
      <c r="AZ15" s="15">
        <v>59129</v>
      </c>
      <c r="BA15" s="16">
        <f t="shared" si="4"/>
        <v>0.3405067664843075</v>
      </c>
      <c r="BB15" s="12"/>
    </row>
    <row r="16" spans="1:54" s="154" customFormat="1" ht="25.5" x14ac:dyDescent="0.25">
      <c r="A16" s="13">
        <v>13</v>
      </c>
      <c r="B16" s="13" t="s">
        <v>68</v>
      </c>
      <c r="C16" s="13" t="s">
        <v>147</v>
      </c>
      <c r="D16" s="13" t="s">
        <v>148</v>
      </c>
      <c r="E16" s="13" t="s">
        <v>149</v>
      </c>
      <c r="F16" s="13" t="s">
        <v>71</v>
      </c>
      <c r="G16" s="13" t="s">
        <v>72</v>
      </c>
      <c r="H16" s="13" t="s">
        <v>60</v>
      </c>
      <c r="I16" s="13" t="s">
        <v>75</v>
      </c>
      <c r="J16" s="13" t="s">
        <v>81</v>
      </c>
      <c r="K16" s="13" t="s">
        <v>87</v>
      </c>
      <c r="L16" s="13">
        <v>-13.55224895477</v>
      </c>
      <c r="M16" s="13">
        <v>-73.342323303219999</v>
      </c>
      <c r="N16" s="39">
        <v>3513</v>
      </c>
      <c r="O16" s="13">
        <v>1</v>
      </c>
      <c r="P16" s="14">
        <v>23</v>
      </c>
      <c r="Q16" s="14">
        <v>9</v>
      </c>
      <c r="R16" s="14">
        <v>14</v>
      </c>
      <c r="S16" s="14">
        <v>1</v>
      </c>
      <c r="T16" s="14">
        <v>7</v>
      </c>
      <c r="U16" s="14">
        <f>Tabla15[[#This Row],[Nº SOCIO JOVEN(M)]]+Tabla15[[#This Row],[Nº SOCIO JOVEN(F)]]</f>
        <v>8</v>
      </c>
      <c r="V16" s="14">
        <v>15</v>
      </c>
      <c r="W16" s="14">
        <v>9</v>
      </c>
      <c r="X16" s="14">
        <v>6</v>
      </c>
      <c r="Y16" s="14">
        <v>1</v>
      </c>
      <c r="Z16" s="14">
        <v>5</v>
      </c>
      <c r="AA16" s="14">
        <f>Tabla15[[#This Row],[Nº FAMILIA JOVEN(M)]]+Tabla15[[#This Row],[Nº FAMILIA JOVEN(F)]]</f>
        <v>6</v>
      </c>
      <c r="AB16" s="52">
        <v>30400</v>
      </c>
      <c r="AC16" s="52">
        <v>12600</v>
      </c>
      <c r="AD16" s="45">
        <v>0</v>
      </c>
      <c r="AE16" s="52">
        <v>43037.97</v>
      </c>
      <c r="AF16" s="14" t="s">
        <v>61</v>
      </c>
      <c r="AG16" s="14">
        <v>77.599999999999994</v>
      </c>
      <c r="AH16" s="14">
        <v>790</v>
      </c>
      <c r="AI16" s="15">
        <v>1260</v>
      </c>
      <c r="AJ16" s="14">
        <v>470</v>
      </c>
      <c r="AK16" s="16">
        <f t="shared" si="0"/>
        <v>0.59493670886075944</v>
      </c>
      <c r="AL16" s="15">
        <v>11060</v>
      </c>
      <c r="AM16" s="15">
        <v>18900</v>
      </c>
      <c r="AN16" s="15">
        <v>7840</v>
      </c>
      <c r="AO16" s="16">
        <f t="shared" si="1"/>
        <v>0.70886075949367089</v>
      </c>
      <c r="AP16" s="14">
        <v>575</v>
      </c>
      <c r="AQ16" s="14">
        <v>625</v>
      </c>
      <c r="AR16" s="14">
        <v>50</v>
      </c>
      <c r="AS16" s="16">
        <f t="shared" si="2"/>
        <v>8.6956521739130432E-2</v>
      </c>
      <c r="AT16" s="15">
        <v>8050</v>
      </c>
      <c r="AU16" s="15">
        <v>9375</v>
      </c>
      <c r="AV16" s="15">
        <v>1325</v>
      </c>
      <c r="AW16" s="16">
        <f t="shared" si="3"/>
        <v>0.16459627329192547</v>
      </c>
      <c r="AX16" s="15">
        <v>51500</v>
      </c>
      <c r="AY16" s="15">
        <v>28005</v>
      </c>
      <c r="AZ16" s="15">
        <v>28005</v>
      </c>
      <c r="BA16" s="16">
        <f t="shared" si="4"/>
        <v>0.54378640776699028</v>
      </c>
      <c r="BB16" s="12"/>
    </row>
    <row r="17" spans="1:54" s="154" customFormat="1" ht="38.25" x14ac:dyDescent="0.25">
      <c r="A17" s="13">
        <v>14</v>
      </c>
      <c r="B17" s="13" t="s">
        <v>68</v>
      </c>
      <c r="C17" s="13" t="s">
        <v>150</v>
      </c>
      <c r="D17" s="13" t="s">
        <v>151</v>
      </c>
      <c r="E17" s="13" t="s">
        <v>152</v>
      </c>
      <c r="F17" s="13" t="s">
        <v>76</v>
      </c>
      <c r="G17" s="13" t="s">
        <v>99</v>
      </c>
      <c r="H17" s="13" t="s">
        <v>60</v>
      </c>
      <c r="I17" s="13" t="s">
        <v>100</v>
      </c>
      <c r="J17" s="13" t="s">
        <v>153</v>
      </c>
      <c r="K17" s="13" t="s">
        <v>153</v>
      </c>
      <c r="L17" s="13">
        <v>-13.388096809389999</v>
      </c>
      <c r="M17" s="13">
        <v>-73.69002532959</v>
      </c>
      <c r="N17" s="39">
        <v>3082</v>
      </c>
      <c r="O17" s="13">
        <v>1</v>
      </c>
      <c r="P17" s="14">
        <v>38</v>
      </c>
      <c r="Q17" s="14">
        <v>27</v>
      </c>
      <c r="R17" s="14">
        <v>11</v>
      </c>
      <c r="S17" s="14">
        <v>0</v>
      </c>
      <c r="T17" s="14">
        <v>0</v>
      </c>
      <c r="U17" s="14">
        <f>Tabla15[[#This Row],[Nº SOCIO JOVEN(M)]]+Tabla15[[#This Row],[Nº SOCIO JOVEN(F)]]</f>
        <v>0</v>
      </c>
      <c r="V17" s="14">
        <v>32</v>
      </c>
      <c r="W17" s="14">
        <v>27</v>
      </c>
      <c r="X17" s="14">
        <v>5</v>
      </c>
      <c r="Y17" s="14">
        <v>0</v>
      </c>
      <c r="Z17" s="14">
        <v>0</v>
      </c>
      <c r="AA17" s="14">
        <f>Tabla15[[#This Row],[Nº FAMILIA JOVEN(M)]]+Tabla15[[#This Row],[Nº FAMILIA JOVEN(F)]]</f>
        <v>0</v>
      </c>
      <c r="AB17" s="52">
        <v>76100</v>
      </c>
      <c r="AC17" s="52">
        <v>31900</v>
      </c>
      <c r="AD17" s="45">
        <v>0</v>
      </c>
      <c r="AE17" s="52">
        <v>108134.3</v>
      </c>
      <c r="AF17" s="14" t="s">
        <v>61</v>
      </c>
      <c r="AG17" s="14">
        <v>74.8</v>
      </c>
      <c r="AH17" s="15">
        <v>12075</v>
      </c>
      <c r="AI17" s="15">
        <v>14570</v>
      </c>
      <c r="AJ17" s="15">
        <v>2495</v>
      </c>
      <c r="AK17" s="16">
        <f t="shared" si="0"/>
        <v>0.20662525879917185</v>
      </c>
      <c r="AL17" s="15">
        <v>36225</v>
      </c>
      <c r="AM17" s="15">
        <v>45167</v>
      </c>
      <c r="AN17" s="15">
        <v>8942</v>
      </c>
      <c r="AO17" s="16">
        <f t="shared" si="1"/>
        <v>0.24684610075914423</v>
      </c>
      <c r="AP17" s="15">
        <v>12075</v>
      </c>
      <c r="AQ17" s="15">
        <v>14570</v>
      </c>
      <c r="AR17" s="15">
        <v>2495</v>
      </c>
      <c r="AS17" s="16">
        <f t="shared" si="2"/>
        <v>0.20662525879917185</v>
      </c>
      <c r="AT17" s="15">
        <v>36225</v>
      </c>
      <c r="AU17" s="15">
        <v>45167</v>
      </c>
      <c r="AV17" s="15">
        <v>8942</v>
      </c>
      <c r="AW17" s="16">
        <f t="shared" si="3"/>
        <v>0.24684610075914423</v>
      </c>
      <c r="AX17" s="15">
        <v>125420</v>
      </c>
      <c r="AY17" s="15">
        <v>72100</v>
      </c>
      <c r="AZ17" s="15">
        <v>72100</v>
      </c>
      <c r="BA17" s="16">
        <f t="shared" si="4"/>
        <v>0.57486844203476317</v>
      </c>
      <c r="BB17" s="12"/>
    </row>
    <row r="18" spans="1:54" s="154" customFormat="1" ht="38.25" x14ac:dyDescent="0.25">
      <c r="A18" s="13">
        <v>15</v>
      </c>
      <c r="B18" s="13" t="s">
        <v>68</v>
      </c>
      <c r="C18" s="13" t="s">
        <v>154</v>
      </c>
      <c r="D18" s="13" t="s">
        <v>155</v>
      </c>
      <c r="E18" s="13" t="s">
        <v>156</v>
      </c>
      <c r="F18" s="13" t="s">
        <v>69</v>
      </c>
      <c r="G18" s="13" t="s">
        <v>143</v>
      </c>
      <c r="H18" s="13" t="s">
        <v>60</v>
      </c>
      <c r="I18" s="13" t="s">
        <v>75</v>
      </c>
      <c r="J18" s="13" t="s">
        <v>81</v>
      </c>
      <c r="K18" s="13" t="s">
        <v>111</v>
      </c>
      <c r="L18" s="13">
        <v>-13.477033615110001</v>
      </c>
      <c r="M18" s="13">
        <v>-73.372261047359999</v>
      </c>
      <c r="N18" s="39">
        <v>3159</v>
      </c>
      <c r="O18" s="13">
        <v>1</v>
      </c>
      <c r="P18" s="14">
        <v>26</v>
      </c>
      <c r="Q18" s="14">
        <v>13</v>
      </c>
      <c r="R18" s="14">
        <v>13</v>
      </c>
      <c r="S18" s="14">
        <v>1</v>
      </c>
      <c r="T18" s="14">
        <v>1</v>
      </c>
      <c r="U18" s="14">
        <f>Tabla15[[#This Row],[Nº SOCIO JOVEN(M)]]+Tabla15[[#This Row],[Nº SOCIO JOVEN(F)]]</f>
        <v>2</v>
      </c>
      <c r="V18" s="14">
        <v>12</v>
      </c>
      <c r="W18" s="14">
        <v>11</v>
      </c>
      <c r="X18" s="14">
        <v>1</v>
      </c>
      <c r="Y18" s="14">
        <v>1</v>
      </c>
      <c r="Z18" s="14">
        <v>0</v>
      </c>
      <c r="AA18" s="14">
        <f>Tabla15[[#This Row],[Nº FAMILIA JOVEN(M)]]+Tabla15[[#This Row],[Nº FAMILIA JOVEN(F)]]</f>
        <v>1</v>
      </c>
      <c r="AB18" s="52">
        <v>37890</v>
      </c>
      <c r="AC18" s="52">
        <v>15877.5</v>
      </c>
      <c r="AD18" s="45">
        <v>0</v>
      </c>
      <c r="AE18" s="52">
        <v>53767.5</v>
      </c>
      <c r="AF18" s="14" t="s">
        <v>61</v>
      </c>
      <c r="AG18" s="14">
        <v>79.3</v>
      </c>
      <c r="AH18" s="15">
        <v>3500</v>
      </c>
      <c r="AI18" s="15">
        <v>5500</v>
      </c>
      <c r="AJ18" s="15">
        <v>2000</v>
      </c>
      <c r="AK18" s="16">
        <f t="shared" si="0"/>
        <v>0.5714285714285714</v>
      </c>
      <c r="AL18" s="15">
        <v>15750</v>
      </c>
      <c r="AM18" s="15">
        <v>27500</v>
      </c>
      <c r="AN18" s="15">
        <v>11750</v>
      </c>
      <c r="AO18" s="16">
        <f t="shared" si="1"/>
        <v>0.74603174603174605</v>
      </c>
      <c r="AP18" s="15">
        <v>3000</v>
      </c>
      <c r="AQ18" s="15">
        <v>4500</v>
      </c>
      <c r="AR18" s="15">
        <v>1500</v>
      </c>
      <c r="AS18" s="16">
        <f t="shared" si="2"/>
        <v>0.5</v>
      </c>
      <c r="AT18" s="15">
        <v>13500</v>
      </c>
      <c r="AU18" s="15">
        <v>22500</v>
      </c>
      <c r="AV18" s="15">
        <v>9000</v>
      </c>
      <c r="AW18" s="16">
        <f t="shared" si="3"/>
        <v>0.66666666666666663</v>
      </c>
      <c r="AX18" s="15">
        <v>53700</v>
      </c>
      <c r="AY18" s="15">
        <v>35850</v>
      </c>
      <c r="AZ18" s="15">
        <v>35850</v>
      </c>
      <c r="BA18" s="16">
        <f t="shared" si="4"/>
        <v>0.66759776536312854</v>
      </c>
      <c r="BB18" s="12"/>
    </row>
    <row r="19" spans="1:54" s="154" customFormat="1" ht="38.25" x14ac:dyDescent="0.25">
      <c r="A19" s="13">
        <v>16</v>
      </c>
      <c r="B19" s="13" t="s">
        <v>68</v>
      </c>
      <c r="C19" s="13" t="s">
        <v>157</v>
      </c>
      <c r="D19" s="13" t="s">
        <v>158</v>
      </c>
      <c r="E19" s="13" t="s">
        <v>159</v>
      </c>
      <c r="F19" s="13" t="s">
        <v>69</v>
      </c>
      <c r="G19" s="13" t="s">
        <v>143</v>
      </c>
      <c r="H19" s="13" t="s">
        <v>60</v>
      </c>
      <c r="I19" s="13" t="s">
        <v>75</v>
      </c>
      <c r="J19" s="13" t="s">
        <v>81</v>
      </c>
      <c r="K19" s="13" t="s">
        <v>81</v>
      </c>
      <c r="L19" s="13">
        <v>-13.528211593629999</v>
      </c>
      <c r="M19" s="13">
        <v>-73.365753173830001</v>
      </c>
      <c r="N19" s="39">
        <v>2977</v>
      </c>
      <c r="O19" s="13">
        <v>1</v>
      </c>
      <c r="P19" s="14">
        <v>17</v>
      </c>
      <c r="Q19" s="14">
        <v>12</v>
      </c>
      <c r="R19" s="14">
        <v>5</v>
      </c>
      <c r="S19" s="14">
        <v>0</v>
      </c>
      <c r="T19" s="14">
        <v>0</v>
      </c>
      <c r="U19" s="14">
        <f>Tabla15[[#This Row],[Nº SOCIO JOVEN(M)]]+Tabla15[[#This Row],[Nº SOCIO JOVEN(F)]]</f>
        <v>0</v>
      </c>
      <c r="V19" s="14">
        <v>15</v>
      </c>
      <c r="W19" s="14">
        <v>12</v>
      </c>
      <c r="X19" s="14">
        <v>3</v>
      </c>
      <c r="Y19" s="14">
        <v>0</v>
      </c>
      <c r="Z19" s="14">
        <v>0</v>
      </c>
      <c r="AA19" s="14">
        <f>Tabla15[[#This Row],[Nº FAMILIA JOVEN(M)]]+Tabla15[[#This Row],[Nº FAMILIA JOVEN(F)]]</f>
        <v>0</v>
      </c>
      <c r="AB19" s="52">
        <v>36518</v>
      </c>
      <c r="AC19" s="52">
        <v>15222</v>
      </c>
      <c r="AD19" s="45">
        <v>0</v>
      </c>
      <c r="AE19" s="52">
        <v>51740</v>
      </c>
      <c r="AF19" s="14" t="s">
        <v>61</v>
      </c>
      <c r="AG19" s="14">
        <v>79.2</v>
      </c>
      <c r="AH19" s="15">
        <v>4000</v>
      </c>
      <c r="AI19" s="15">
        <v>6000</v>
      </c>
      <c r="AJ19" s="15">
        <v>2000</v>
      </c>
      <c r="AK19" s="16">
        <f t="shared" si="0"/>
        <v>0.5</v>
      </c>
      <c r="AL19" s="15">
        <v>16000</v>
      </c>
      <c r="AM19" s="15">
        <v>30000</v>
      </c>
      <c r="AN19" s="15">
        <v>14000</v>
      </c>
      <c r="AO19" s="16">
        <f t="shared" si="1"/>
        <v>0.875</v>
      </c>
      <c r="AP19" s="15">
        <v>4000</v>
      </c>
      <c r="AQ19" s="15">
        <v>5500</v>
      </c>
      <c r="AR19" s="15">
        <v>1500</v>
      </c>
      <c r="AS19" s="16">
        <f t="shared" si="2"/>
        <v>0.375</v>
      </c>
      <c r="AT19" s="15">
        <v>16000</v>
      </c>
      <c r="AU19" s="15">
        <v>27500</v>
      </c>
      <c r="AV19" s="15">
        <v>11500</v>
      </c>
      <c r="AW19" s="16">
        <f t="shared" si="3"/>
        <v>0.71875</v>
      </c>
      <c r="AX19" s="15">
        <v>47600</v>
      </c>
      <c r="AY19" s="15">
        <v>29698</v>
      </c>
      <c r="AZ19" s="15">
        <v>29698</v>
      </c>
      <c r="BA19" s="16">
        <f t="shared" si="4"/>
        <v>0.62390756302521011</v>
      </c>
      <c r="BB19" s="12"/>
    </row>
    <row r="20" spans="1:54" s="154" customFormat="1" ht="63.75" x14ac:dyDescent="0.25">
      <c r="A20" s="13">
        <v>17</v>
      </c>
      <c r="B20" s="13" t="s">
        <v>68</v>
      </c>
      <c r="C20" s="13" t="s">
        <v>160</v>
      </c>
      <c r="D20" s="13" t="s">
        <v>161</v>
      </c>
      <c r="E20" s="13" t="s">
        <v>162</v>
      </c>
      <c r="F20" s="13" t="s">
        <v>73</v>
      </c>
      <c r="G20" s="13" t="s">
        <v>74</v>
      </c>
      <c r="H20" s="13" t="s">
        <v>60</v>
      </c>
      <c r="I20" s="13" t="s">
        <v>75</v>
      </c>
      <c r="J20" s="13" t="s">
        <v>81</v>
      </c>
      <c r="K20" s="13" t="s">
        <v>81</v>
      </c>
      <c r="L20" s="13">
        <v>-13.528211593629999</v>
      </c>
      <c r="M20" s="13">
        <v>-73.365753173830001</v>
      </c>
      <c r="N20" s="39">
        <v>2977</v>
      </c>
      <c r="O20" s="13">
        <v>1</v>
      </c>
      <c r="P20" s="14">
        <v>55</v>
      </c>
      <c r="Q20" s="14">
        <v>31</v>
      </c>
      <c r="R20" s="14">
        <v>24</v>
      </c>
      <c r="S20" s="14">
        <v>1</v>
      </c>
      <c r="T20" s="14">
        <v>4</v>
      </c>
      <c r="U20" s="14">
        <f>Tabla15[[#This Row],[Nº SOCIO JOVEN(M)]]+Tabla15[[#This Row],[Nº SOCIO JOVEN(F)]]</f>
        <v>5</v>
      </c>
      <c r="V20" s="14">
        <v>34</v>
      </c>
      <c r="W20" s="14">
        <v>28</v>
      </c>
      <c r="X20" s="14">
        <v>6</v>
      </c>
      <c r="Y20" s="14">
        <v>1</v>
      </c>
      <c r="Z20" s="14">
        <v>2</v>
      </c>
      <c r="AA20" s="14">
        <f>Tabla15[[#This Row],[Nº FAMILIA JOVEN(M)]]+Tabla15[[#This Row],[Nº FAMILIA JOVEN(F)]]</f>
        <v>3</v>
      </c>
      <c r="AB20" s="52">
        <v>70155</v>
      </c>
      <c r="AC20" s="52">
        <v>29495</v>
      </c>
      <c r="AD20" s="45">
        <v>0</v>
      </c>
      <c r="AE20" s="52">
        <v>99657.75</v>
      </c>
      <c r="AF20" s="14" t="s">
        <v>88</v>
      </c>
      <c r="AG20" s="14">
        <v>81.3</v>
      </c>
      <c r="AH20" s="15">
        <v>94000</v>
      </c>
      <c r="AI20" s="15">
        <v>130880</v>
      </c>
      <c r="AJ20" s="15">
        <v>36880</v>
      </c>
      <c r="AK20" s="16">
        <f t="shared" si="0"/>
        <v>0.39234042553191489</v>
      </c>
      <c r="AL20" s="15">
        <v>329000</v>
      </c>
      <c r="AM20" s="15">
        <v>536370</v>
      </c>
      <c r="AN20" s="15">
        <v>207370</v>
      </c>
      <c r="AO20" s="16">
        <f t="shared" si="1"/>
        <v>0.63030395136778117</v>
      </c>
      <c r="AP20" s="15">
        <v>83083</v>
      </c>
      <c r="AQ20" s="15">
        <v>116968</v>
      </c>
      <c r="AR20" s="15">
        <v>33885</v>
      </c>
      <c r="AS20" s="16">
        <f t="shared" si="2"/>
        <v>0.40784516688131145</v>
      </c>
      <c r="AT20" s="15">
        <v>290791</v>
      </c>
      <c r="AU20" s="15">
        <v>478273</v>
      </c>
      <c r="AV20" s="15">
        <v>187482</v>
      </c>
      <c r="AW20" s="16">
        <f t="shared" si="3"/>
        <v>0.64473109552909136</v>
      </c>
      <c r="AX20" s="15">
        <v>59700</v>
      </c>
      <c r="AY20" s="15">
        <v>43600</v>
      </c>
      <c r="AZ20" s="15">
        <v>43600</v>
      </c>
      <c r="BA20" s="16">
        <f t="shared" si="4"/>
        <v>0.73031825795644889</v>
      </c>
      <c r="BB20" s="12"/>
    </row>
    <row r="21" spans="1:54" s="154" customFormat="1" ht="38.25" x14ac:dyDescent="0.25">
      <c r="A21" s="13">
        <v>18</v>
      </c>
      <c r="B21" s="13" t="s">
        <v>68</v>
      </c>
      <c r="C21" s="13" t="s">
        <v>170</v>
      </c>
      <c r="D21" s="13" t="s">
        <v>171</v>
      </c>
      <c r="E21" s="13" t="s">
        <v>169</v>
      </c>
      <c r="F21" s="13" t="s">
        <v>71</v>
      </c>
      <c r="G21" s="13" t="s">
        <v>77</v>
      </c>
      <c r="H21" s="13" t="s">
        <v>60</v>
      </c>
      <c r="I21" s="13" t="s">
        <v>75</v>
      </c>
      <c r="J21" s="13" t="s">
        <v>81</v>
      </c>
      <c r="K21" s="13" t="s">
        <v>81</v>
      </c>
      <c r="L21" s="13">
        <v>-13.528211593629999</v>
      </c>
      <c r="M21" s="13">
        <v>-73.365753173830001</v>
      </c>
      <c r="N21" s="39">
        <v>2977</v>
      </c>
      <c r="O21" s="13">
        <v>1</v>
      </c>
      <c r="P21" s="14">
        <v>27</v>
      </c>
      <c r="Q21" s="14">
        <v>14</v>
      </c>
      <c r="R21" s="14">
        <v>13</v>
      </c>
      <c r="S21" s="14">
        <v>2</v>
      </c>
      <c r="T21" s="14">
        <v>3</v>
      </c>
      <c r="U21" s="14">
        <f>Tabla15[[#This Row],[Nº SOCIO JOVEN(M)]]+Tabla15[[#This Row],[Nº SOCIO JOVEN(F)]]</f>
        <v>5</v>
      </c>
      <c r="V21" s="14">
        <v>18</v>
      </c>
      <c r="W21" s="14">
        <v>14</v>
      </c>
      <c r="X21" s="14">
        <v>4</v>
      </c>
      <c r="Y21" s="14">
        <v>2</v>
      </c>
      <c r="Z21" s="14">
        <v>0</v>
      </c>
      <c r="AA21" s="14">
        <f>Tabla15[[#This Row],[Nº FAMILIA JOVEN(M)]]+Tabla15[[#This Row],[Nº FAMILIA JOVEN(F)]]</f>
        <v>2</v>
      </c>
      <c r="AB21" s="52">
        <v>36700</v>
      </c>
      <c r="AC21" s="52">
        <v>15300</v>
      </c>
      <c r="AD21" s="45">
        <v>0</v>
      </c>
      <c r="AE21" s="52">
        <v>52042.15</v>
      </c>
      <c r="AF21" s="14" t="s">
        <v>61</v>
      </c>
      <c r="AG21" s="14">
        <v>79.599999999999994</v>
      </c>
      <c r="AH21" s="14">
        <v>154</v>
      </c>
      <c r="AI21" s="14">
        <v>214</v>
      </c>
      <c r="AJ21" s="14">
        <v>60</v>
      </c>
      <c r="AK21" s="16">
        <f t="shared" si="0"/>
        <v>0.38961038961038963</v>
      </c>
      <c r="AL21" s="15">
        <v>43120</v>
      </c>
      <c r="AM21" s="15">
        <v>64200</v>
      </c>
      <c r="AN21" s="15">
        <v>21080</v>
      </c>
      <c r="AO21" s="16">
        <f t="shared" si="1"/>
        <v>0.48886827458256027</v>
      </c>
      <c r="AP21" s="14">
        <v>50</v>
      </c>
      <c r="AQ21" s="14">
        <v>75</v>
      </c>
      <c r="AR21" s="14">
        <v>25</v>
      </c>
      <c r="AS21" s="16">
        <f t="shared" si="2"/>
        <v>0.5</v>
      </c>
      <c r="AT21" s="15">
        <v>14000</v>
      </c>
      <c r="AU21" s="15">
        <v>22500</v>
      </c>
      <c r="AV21" s="15">
        <v>8500</v>
      </c>
      <c r="AW21" s="16">
        <f t="shared" si="3"/>
        <v>0.6071428571428571</v>
      </c>
      <c r="AX21" s="15">
        <v>57600</v>
      </c>
      <c r="AY21" s="15">
        <v>34831</v>
      </c>
      <c r="AZ21" s="15">
        <v>34831</v>
      </c>
      <c r="BA21" s="16">
        <f t="shared" si="4"/>
        <v>0.6047048611111111</v>
      </c>
      <c r="BB21" s="12"/>
    </row>
    <row r="22" spans="1:54" s="154" customFormat="1" ht="38.25" x14ac:dyDescent="0.25">
      <c r="A22" s="13">
        <v>19</v>
      </c>
      <c r="B22" s="13" t="s">
        <v>68</v>
      </c>
      <c r="C22" s="13" t="s">
        <v>173</v>
      </c>
      <c r="D22" s="13" t="s">
        <v>174</v>
      </c>
      <c r="E22" s="13" t="s">
        <v>175</v>
      </c>
      <c r="F22" s="13" t="s">
        <v>71</v>
      </c>
      <c r="G22" s="13" t="s">
        <v>141</v>
      </c>
      <c r="H22" s="13" t="s">
        <v>60</v>
      </c>
      <c r="I22" s="13" t="s">
        <v>75</v>
      </c>
      <c r="J22" s="13" t="s">
        <v>81</v>
      </c>
      <c r="K22" s="13" t="s">
        <v>176</v>
      </c>
      <c r="L22" s="13">
        <v>-13.52559280396</v>
      </c>
      <c r="M22" s="13">
        <v>-73.343208312990001</v>
      </c>
      <c r="N22" s="39">
        <v>3355</v>
      </c>
      <c r="O22" s="13">
        <v>1</v>
      </c>
      <c r="P22" s="14">
        <v>45</v>
      </c>
      <c r="Q22" s="14">
        <v>24</v>
      </c>
      <c r="R22" s="14">
        <v>21</v>
      </c>
      <c r="S22" s="14">
        <v>3</v>
      </c>
      <c r="T22" s="14">
        <v>3</v>
      </c>
      <c r="U22" s="14">
        <f>Tabla15[[#This Row],[Nº SOCIO JOVEN(M)]]+Tabla15[[#This Row],[Nº SOCIO JOVEN(F)]]</f>
        <v>6</v>
      </c>
      <c r="V22" s="14">
        <v>24</v>
      </c>
      <c r="W22" s="14">
        <v>14</v>
      </c>
      <c r="X22" s="14">
        <v>10</v>
      </c>
      <c r="Y22" s="14">
        <v>1</v>
      </c>
      <c r="Z22" s="14">
        <v>2</v>
      </c>
      <c r="AA22" s="14">
        <f>Tabla15[[#This Row],[Nº FAMILIA JOVEN(M)]]+Tabla15[[#This Row],[Nº FAMILIA JOVEN(F)]]</f>
        <v>3</v>
      </c>
      <c r="AB22" s="52">
        <v>40900</v>
      </c>
      <c r="AC22" s="52">
        <v>17100</v>
      </c>
      <c r="AD22" s="45">
        <v>0</v>
      </c>
      <c r="AE22" s="52">
        <v>58000</v>
      </c>
      <c r="AF22" s="14" t="s">
        <v>61</v>
      </c>
      <c r="AG22" s="14">
        <v>75.7</v>
      </c>
      <c r="AH22" s="14">
        <v>500</v>
      </c>
      <c r="AI22" s="14">
        <v>720</v>
      </c>
      <c r="AJ22" s="14">
        <v>220</v>
      </c>
      <c r="AK22" s="16">
        <f t="shared" si="0"/>
        <v>0.44</v>
      </c>
      <c r="AL22" s="15">
        <v>5000</v>
      </c>
      <c r="AM22" s="15">
        <v>7920</v>
      </c>
      <c r="AN22" s="15">
        <v>2920</v>
      </c>
      <c r="AO22" s="16">
        <f t="shared" si="1"/>
        <v>0.58399999999999996</v>
      </c>
      <c r="AP22" s="14">
        <v>450</v>
      </c>
      <c r="AQ22" s="14">
        <v>600</v>
      </c>
      <c r="AR22" s="14">
        <v>150</v>
      </c>
      <c r="AS22" s="16">
        <f t="shared" si="2"/>
        <v>0.33333333333333331</v>
      </c>
      <c r="AT22" s="15">
        <v>4500</v>
      </c>
      <c r="AU22" s="15">
        <v>6600</v>
      </c>
      <c r="AV22" s="15">
        <v>2100</v>
      </c>
      <c r="AW22" s="16">
        <f t="shared" si="3"/>
        <v>0.46666666666666667</v>
      </c>
      <c r="AX22" s="15">
        <v>71800</v>
      </c>
      <c r="AY22" s="15">
        <v>37500</v>
      </c>
      <c r="AZ22" s="15">
        <v>37500</v>
      </c>
      <c r="BA22" s="16">
        <f t="shared" si="4"/>
        <v>0.52228412256267409</v>
      </c>
      <c r="BB22" s="12"/>
    </row>
    <row r="23" spans="1:54" s="154" customFormat="1" ht="25.5" x14ac:dyDescent="0.25">
      <c r="A23" s="13">
        <v>20</v>
      </c>
      <c r="B23" s="13" t="s">
        <v>68</v>
      </c>
      <c r="C23" s="13" t="s">
        <v>177</v>
      </c>
      <c r="D23" s="13" t="s">
        <v>178</v>
      </c>
      <c r="E23" s="13" t="s">
        <v>168</v>
      </c>
      <c r="F23" s="13" t="s">
        <v>71</v>
      </c>
      <c r="G23" s="13" t="s">
        <v>72</v>
      </c>
      <c r="H23" s="13" t="s">
        <v>60</v>
      </c>
      <c r="I23" s="13" t="s">
        <v>75</v>
      </c>
      <c r="J23" s="13" t="s">
        <v>81</v>
      </c>
      <c r="K23" s="13" t="s">
        <v>176</v>
      </c>
      <c r="L23" s="13">
        <v>-13.52559280396</v>
      </c>
      <c r="M23" s="13">
        <v>-73.343208312990001</v>
      </c>
      <c r="N23" s="39">
        <v>3355</v>
      </c>
      <c r="O23" s="13">
        <v>1</v>
      </c>
      <c r="P23" s="14">
        <v>34</v>
      </c>
      <c r="Q23" s="14">
        <v>18</v>
      </c>
      <c r="R23" s="14">
        <v>16</v>
      </c>
      <c r="S23" s="14">
        <v>5</v>
      </c>
      <c r="T23" s="14">
        <v>5</v>
      </c>
      <c r="U23" s="14">
        <f>Tabla15[[#This Row],[Nº SOCIO JOVEN(M)]]+Tabla15[[#This Row],[Nº SOCIO JOVEN(F)]]</f>
        <v>10</v>
      </c>
      <c r="V23" s="14">
        <v>17</v>
      </c>
      <c r="W23" s="14">
        <v>17</v>
      </c>
      <c r="X23" s="14">
        <v>0</v>
      </c>
      <c r="Y23" s="14">
        <v>4</v>
      </c>
      <c r="Z23" s="14">
        <v>0</v>
      </c>
      <c r="AA23" s="14">
        <f>Tabla15[[#This Row],[Nº FAMILIA JOVEN(M)]]+Tabla15[[#This Row],[Nº FAMILIA JOVEN(F)]]</f>
        <v>4</v>
      </c>
      <c r="AB23" s="52">
        <v>38800</v>
      </c>
      <c r="AC23" s="52">
        <v>16200</v>
      </c>
      <c r="AD23" s="45">
        <v>0</v>
      </c>
      <c r="AE23" s="52">
        <v>55000</v>
      </c>
      <c r="AF23" s="14" t="s">
        <v>61</v>
      </c>
      <c r="AG23" s="14">
        <v>79.5</v>
      </c>
      <c r="AH23" s="14">
        <v>400</v>
      </c>
      <c r="AI23" s="14">
        <v>600</v>
      </c>
      <c r="AJ23" s="14">
        <v>200</v>
      </c>
      <c r="AK23" s="16">
        <f t="shared" si="0"/>
        <v>0.5</v>
      </c>
      <c r="AL23" s="15">
        <v>4800</v>
      </c>
      <c r="AM23" s="15">
        <v>8400</v>
      </c>
      <c r="AN23" s="15">
        <v>3600</v>
      </c>
      <c r="AO23" s="16">
        <f t="shared" si="1"/>
        <v>0.75</v>
      </c>
      <c r="AP23" s="14">
        <v>340</v>
      </c>
      <c r="AQ23" s="14">
        <v>450</v>
      </c>
      <c r="AR23" s="14">
        <v>110</v>
      </c>
      <c r="AS23" s="16">
        <f t="shared" si="2"/>
        <v>0.3235294117647059</v>
      </c>
      <c r="AT23" s="15">
        <v>4080</v>
      </c>
      <c r="AU23" s="15">
        <v>6300</v>
      </c>
      <c r="AV23" s="15">
        <v>2220</v>
      </c>
      <c r="AW23" s="16">
        <f t="shared" si="3"/>
        <v>0.54411764705882348</v>
      </c>
      <c r="AX23" s="15">
        <v>51850</v>
      </c>
      <c r="AY23" s="15">
        <v>36049</v>
      </c>
      <c r="AZ23" s="15">
        <v>36049</v>
      </c>
      <c r="BA23" s="16">
        <f t="shared" si="4"/>
        <v>0.69525554484088714</v>
      </c>
      <c r="BB23" s="12"/>
    </row>
    <row r="24" spans="1:54" s="154" customFormat="1" ht="38.25" x14ac:dyDescent="0.25">
      <c r="A24" s="13">
        <v>21</v>
      </c>
      <c r="B24" s="13" t="s">
        <v>68</v>
      </c>
      <c r="C24" s="13" t="s">
        <v>179</v>
      </c>
      <c r="D24" s="13" t="s">
        <v>180</v>
      </c>
      <c r="E24" s="13" t="s">
        <v>181</v>
      </c>
      <c r="F24" s="13" t="s">
        <v>71</v>
      </c>
      <c r="G24" s="13" t="s">
        <v>140</v>
      </c>
      <c r="H24" s="13" t="s">
        <v>60</v>
      </c>
      <c r="I24" s="13" t="s">
        <v>75</v>
      </c>
      <c r="J24" s="13" t="s">
        <v>81</v>
      </c>
      <c r="K24" s="13" t="s">
        <v>182</v>
      </c>
      <c r="L24" s="13">
        <v>-13.533082008359999</v>
      </c>
      <c r="M24" s="13">
        <v>-73.369941711430002</v>
      </c>
      <c r="N24" s="39">
        <v>2886</v>
      </c>
      <c r="O24" s="13">
        <v>1</v>
      </c>
      <c r="P24" s="14">
        <v>40</v>
      </c>
      <c r="Q24" s="14">
        <v>18</v>
      </c>
      <c r="R24" s="14">
        <v>22</v>
      </c>
      <c r="S24" s="14">
        <v>4</v>
      </c>
      <c r="T24" s="14">
        <v>1</v>
      </c>
      <c r="U24" s="14">
        <f>Tabla15[[#This Row],[Nº SOCIO JOVEN(M)]]+Tabla15[[#This Row],[Nº SOCIO JOVEN(F)]]</f>
        <v>5</v>
      </c>
      <c r="V24" s="14">
        <v>26</v>
      </c>
      <c r="W24" s="14">
        <v>17</v>
      </c>
      <c r="X24" s="14">
        <v>9</v>
      </c>
      <c r="Y24" s="14">
        <v>3</v>
      </c>
      <c r="Z24" s="14">
        <v>0</v>
      </c>
      <c r="AA24" s="14">
        <f>Tabla15[[#This Row],[Nº FAMILIA JOVEN(M)]]+Tabla15[[#This Row],[Nº FAMILIA JOVEN(F)]]</f>
        <v>3</v>
      </c>
      <c r="AB24" s="52">
        <v>35300</v>
      </c>
      <c r="AC24" s="52">
        <v>14721</v>
      </c>
      <c r="AD24" s="45">
        <v>0</v>
      </c>
      <c r="AE24" s="52">
        <v>50021</v>
      </c>
      <c r="AF24" s="14" t="s">
        <v>61</v>
      </c>
      <c r="AG24" s="14">
        <v>74</v>
      </c>
      <c r="AH24" s="14">
        <v>780</v>
      </c>
      <c r="AI24" s="15">
        <v>1260</v>
      </c>
      <c r="AJ24" s="14">
        <v>480</v>
      </c>
      <c r="AK24" s="16">
        <f t="shared" si="0"/>
        <v>0.61538461538461542</v>
      </c>
      <c r="AL24" s="15">
        <v>1170</v>
      </c>
      <c r="AM24" s="15">
        <v>2100</v>
      </c>
      <c r="AN24" s="14">
        <v>930</v>
      </c>
      <c r="AO24" s="16">
        <f t="shared" si="1"/>
        <v>0.79487179487179482</v>
      </c>
      <c r="AP24" s="14">
        <v>240</v>
      </c>
      <c r="AQ24" s="14">
        <v>300</v>
      </c>
      <c r="AR24" s="14">
        <v>60</v>
      </c>
      <c r="AS24" s="16">
        <f t="shared" si="2"/>
        <v>0.25</v>
      </c>
      <c r="AT24" s="14">
        <v>360</v>
      </c>
      <c r="AU24" s="14">
        <v>500</v>
      </c>
      <c r="AV24" s="14">
        <v>140</v>
      </c>
      <c r="AW24" s="16">
        <f t="shared" si="3"/>
        <v>0.3888888888888889</v>
      </c>
      <c r="AX24" s="15">
        <v>97000</v>
      </c>
      <c r="AY24" s="15">
        <v>29417</v>
      </c>
      <c r="AZ24" s="15">
        <v>29417</v>
      </c>
      <c r="BA24" s="16">
        <f t="shared" si="4"/>
        <v>0.30326804123711343</v>
      </c>
      <c r="BB24" s="12"/>
    </row>
    <row r="25" spans="1:54" s="154" customFormat="1" ht="38.25" x14ac:dyDescent="0.25">
      <c r="A25" s="13">
        <v>22</v>
      </c>
      <c r="B25" s="13" t="s">
        <v>68</v>
      </c>
      <c r="C25" s="13" t="s">
        <v>183</v>
      </c>
      <c r="D25" s="13" t="s">
        <v>184</v>
      </c>
      <c r="E25" s="13" t="s">
        <v>185</v>
      </c>
      <c r="F25" s="13" t="s">
        <v>71</v>
      </c>
      <c r="G25" s="13" t="s">
        <v>141</v>
      </c>
      <c r="H25" s="13" t="s">
        <v>60</v>
      </c>
      <c r="I25" s="13" t="s">
        <v>75</v>
      </c>
      <c r="J25" s="13" t="s">
        <v>81</v>
      </c>
      <c r="K25" s="13" t="s">
        <v>186</v>
      </c>
      <c r="L25" s="13">
        <v>-13.53894615173</v>
      </c>
      <c r="M25" s="13">
        <v>-73.358070373540002</v>
      </c>
      <c r="N25" s="39">
        <v>3238</v>
      </c>
      <c r="O25" s="13">
        <v>1</v>
      </c>
      <c r="P25" s="14">
        <v>33</v>
      </c>
      <c r="Q25" s="14">
        <v>15</v>
      </c>
      <c r="R25" s="14">
        <v>18</v>
      </c>
      <c r="S25" s="14">
        <v>1</v>
      </c>
      <c r="T25" s="14">
        <v>2</v>
      </c>
      <c r="U25" s="14">
        <f>Tabla15[[#This Row],[Nº SOCIO JOVEN(M)]]+Tabla15[[#This Row],[Nº SOCIO JOVEN(F)]]</f>
        <v>3</v>
      </c>
      <c r="V25" s="14">
        <v>19</v>
      </c>
      <c r="W25" s="14">
        <v>14</v>
      </c>
      <c r="X25" s="14">
        <v>5</v>
      </c>
      <c r="Y25" s="14">
        <v>1</v>
      </c>
      <c r="Z25" s="14">
        <v>0</v>
      </c>
      <c r="AA25" s="14">
        <f>Tabla15[[#This Row],[Nº FAMILIA JOVEN(M)]]+Tabla15[[#This Row],[Nº FAMILIA JOVEN(F)]]</f>
        <v>1</v>
      </c>
      <c r="AB25" s="52">
        <v>45800</v>
      </c>
      <c r="AC25" s="52">
        <v>19200</v>
      </c>
      <c r="AD25" s="45">
        <v>0</v>
      </c>
      <c r="AE25" s="52">
        <v>65010.54</v>
      </c>
      <c r="AF25" s="14" t="s">
        <v>61</v>
      </c>
      <c r="AG25" s="14">
        <v>78.7</v>
      </c>
      <c r="AH25" s="15">
        <v>1440</v>
      </c>
      <c r="AI25" s="15">
        <v>2480</v>
      </c>
      <c r="AJ25" s="15">
        <v>1040</v>
      </c>
      <c r="AK25" s="16">
        <f t="shared" si="0"/>
        <v>0.72222222222222221</v>
      </c>
      <c r="AL25" s="15">
        <v>7680</v>
      </c>
      <c r="AM25" s="15">
        <v>14720</v>
      </c>
      <c r="AN25" s="15">
        <v>7040</v>
      </c>
      <c r="AO25" s="16">
        <f t="shared" si="1"/>
        <v>0.91666666666666663</v>
      </c>
      <c r="AP25" s="15">
        <v>1440</v>
      </c>
      <c r="AQ25" s="15">
        <v>1900</v>
      </c>
      <c r="AR25" s="14">
        <v>460</v>
      </c>
      <c r="AS25" s="16">
        <f t="shared" si="2"/>
        <v>0.31944444444444442</v>
      </c>
      <c r="AT25" s="15">
        <v>7680</v>
      </c>
      <c r="AU25" s="15">
        <v>11600</v>
      </c>
      <c r="AV25" s="15">
        <v>3920</v>
      </c>
      <c r="AW25" s="16">
        <f t="shared" si="3"/>
        <v>0.51041666666666663</v>
      </c>
      <c r="AX25" s="15">
        <v>59500</v>
      </c>
      <c r="AY25" s="15">
        <v>37710</v>
      </c>
      <c r="AZ25" s="15">
        <v>37710</v>
      </c>
      <c r="BA25" s="16">
        <f t="shared" si="4"/>
        <v>0.63378151260504201</v>
      </c>
      <c r="BB25" s="12"/>
    </row>
    <row r="26" spans="1:54" s="154" customFormat="1" ht="25.5" x14ac:dyDescent="0.25">
      <c r="A26" s="13">
        <v>23</v>
      </c>
      <c r="B26" s="13" t="s">
        <v>68</v>
      </c>
      <c r="C26" s="13" t="s">
        <v>188</v>
      </c>
      <c r="D26" s="13" t="s">
        <v>189</v>
      </c>
      <c r="E26" s="13" t="s">
        <v>190</v>
      </c>
      <c r="F26" s="13" t="s">
        <v>76</v>
      </c>
      <c r="G26" s="13" t="s">
        <v>99</v>
      </c>
      <c r="H26" s="13" t="s">
        <v>60</v>
      </c>
      <c r="I26" s="13" t="s">
        <v>75</v>
      </c>
      <c r="J26" s="13" t="s">
        <v>81</v>
      </c>
      <c r="K26" s="13" t="s">
        <v>81</v>
      </c>
      <c r="L26" s="13">
        <v>-13.528211593629999</v>
      </c>
      <c r="M26" s="13">
        <v>-73.365753173830001</v>
      </c>
      <c r="N26" s="39">
        <v>2977</v>
      </c>
      <c r="O26" s="13">
        <v>1</v>
      </c>
      <c r="P26" s="14">
        <v>14</v>
      </c>
      <c r="Q26" s="14">
        <v>4</v>
      </c>
      <c r="R26" s="14">
        <v>10</v>
      </c>
      <c r="S26" s="14">
        <v>0</v>
      </c>
      <c r="T26" s="14">
        <v>2</v>
      </c>
      <c r="U26" s="14">
        <f>Tabla15[[#This Row],[Nº SOCIO JOVEN(M)]]+Tabla15[[#This Row],[Nº SOCIO JOVEN(F)]]</f>
        <v>2</v>
      </c>
      <c r="V26" s="14">
        <v>11</v>
      </c>
      <c r="W26" s="14">
        <v>2</v>
      </c>
      <c r="X26" s="14">
        <v>9</v>
      </c>
      <c r="Y26" s="14">
        <v>0</v>
      </c>
      <c r="Z26" s="14">
        <v>2</v>
      </c>
      <c r="AA26" s="14">
        <f>Tabla15[[#This Row],[Nº FAMILIA JOVEN(M)]]+Tabla15[[#This Row],[Nº FAMILIA JOVEN(F)]]</f>
        <v>2</v>
      </c>
      <c r="AB26" s="52">
        <v>38800</v>
      </c>
      <c r="AC26" s="52">
        <v>16200</v>
      </c>
      <c r="AD26" s="45">
        <v>0</v>
      </c>
      <c r="AE26" s="52">
        <v>55035.79</v>
      </c>
      <c r="AF26" s="14" t="s">
        <v>61</v>
      </c>
      <c r="AG26" s="14">
        <v>73.7</v>
      </c>
      <c r="AH26" s="15">
        <v>7500</v>
      </c>
      <c r="AI26" s="15">
        <v>10500</v>
      </c>
      <c r="AJ26" s="15">
        <v>3000</v>
      </c>
      <c r="AK26" s="16">
        <f t="shared" si="0"/>
        <v>0.4</v>
      </c>
      <c r="AL26" s="15">
        <v>37500</v>
      </c>
      <c r="AM26" s="15">
        <v>52500</v>
      </c>
      <c r="AN26" s="15">
        <v>15000</v>
      </c>
      <c r="AO26" s="16">
        <f t="shared" si="1"/>
        <v>0.4</v>
      </c>
      <c r="AP26" s="15">
        <v>7250</v>
      </c>
      <c r="AQ26" s="15">
        <v>10250</v>
      </c>
      <c r="AR26" s="15">
        <v>3000</v>
      </c>
      <c r="AS26" s="16">
        <f t="shared" si="2"/>
        <v>0.41379310344827586</v>
      </c>
      <c r="AT26" s="15">
        <v>36250</v>
      </c>
      <c r="AU26" s="15">
        <v>51250</v>
      </c>
      <c r="AV26" s="15">
        <v>15000</v>
      </c>
      <c r="AW26" s="16">
        <f t="shared" si="3"/>
        <v>0.41379310344827586</v>
      </c>
      <c r="AX26" s="15">
        <v>65000</v>
      </c>
      <c r="AY26" s="15">
        <v>36350</v>
      </c>
      <c r="AZ26" s="15">
        <v>36350</v>
      </c>
      <c r="BA26" s="16">
        <f t="shared" si="4"/>
        <v>0.5592307692307692</v>
      </c>
      <c r="BB26" s="12"/>
    </row>
    <row r="27" spans="1:54" s="154" customFormat="1" ht="25.5" x14ac:dyDescent="0.25">
      <c r="A27" s="13">
        <v>24</v>
      </c>
      <c r="B27" s="13" t="s">
        <v>98</v>
      </c>
      <c r="C27" s="13" t="s">
        <v>191</v>
      </c>
      <c r="D27" s="13" t="s">
        <v>192</v>
      </c>
      <c r="E27" s="13" t="s">
        <v>193</v>
      </c>
      <c r="F27" s="13" t="s">
        <v>76</v>
      </c>
      <c r="G27" s="13" t="s">
        <v>99</v>
      </c>
      <c r="H27" s="13" t="s">
        <v>60</v>
      </c>
      <c r="I27" s="13" t="s">
        <v>75</v>
      </c>
      <c r="J27" s="13" t="s">
        <v>81</v>
      </c>
      <c r="K27" s="13" t="s">
        <v>194</v>
      </c>
      <c r="L27" s="13">
        <v>-13.50648117065</v>
      </c>
      <c r="M27" s="13">
        <v>-73.437934875490001</v>
      </c>
      <c r="N27" s="39">
        <v>2641</v>
      </c>
      <c r="O27" s="13">
        <v>1</v>
      </c>
      <c r="P27" s="14">
        <v>17</v>
      </c>
      <c r="Q27" s="14">
        <v>10</v>
      </c>
      <c r="R27" s="14">
        <v>7</v>
      </c>
      <c r="S27" s="14">
        <v>2</v>
      </c>
      <c r="T27" s="14">
        <v>0</v>
      </c>
      <c r="U27" s="14">
        <f>Tabla15[[#This Row],[Nº SOCIO JOVEN(M)]]+Tabla15[[#This Row],[Nº SOCIO JOVEN(F)]]</f>
        <v>2</v>
      </c>
      <c r="V27" s="14">
        <v>13</v>
      </c>
      <c r="W27" s="14">
        <v>10</v>
      </c>
      <c r="X27" s="14">
        <v>3</v>
      </c>
      <c r="Y27" s="14">
        <v>2</v>
      </c>
      <c r="Z27" s="14">
        <v>0</v>
      </c>
      <c r="AA27" s="14">
        <f>Tabla15[[#This Row],[Nº FAMILIA JOVEN(M)]]+Tabla15[[#This Row],[Nº FAMILIA JOVEN(F)]]</f>
        <v>2</v>
      </c>
      <c r="AB27" s="52">
        <v>35000</v>
      </c>
      <c r="AC27" s="52">
        <v>15000</v>
      </c>
      <c r="AD27" s="45">
        <v>0</v>
      </c>
      <c r="AE27" s="52">
        <v>50003.4</v>
      </c>
      <c r="AF27" s="14" t="s">
        <v>61</v>
      </c>
      <c r="AG27" s="14">
        <v>79.599999999999994</v>
      </c>
      <c r="AH27" s="15">
        <v>12500</v>
      </c>
      <c r="AI27" s="15">
        <v>15000</v>
      </c>
      <c r="AJ27" s="15">
        <v>2500</v>
      </c>
      <c r="AK27" s="16">
        <f t="shared" si="0"/>
        <v>0.2</v>
      </c>
      <c r="AL27" s="15">
        <v>43750</v>
      </c>
      <c r="AM27" s="15">
        <v>60000</v>
      </c>
      <c r="AN27" s="15">
        <v>16250</v>
      </c>
      <c r="AO27" s="16">
        <f t="shared" si="1"/>
        <v>0.37142857142857144</v>
      </c>
      <c r="AP27" s="15">
        <v>12000</v>
      </c>
      <c r="AQ27" s="15">
        <v>14000</v>
      </c>
      <c r="AR27" s="15">
        <v>2000</v>
      </c>
      <c r="AS27" s="16">
        <f t="shared" si="2"/>
        <v>0.16666666666666666</v>
      </c>
      <c r="AT27" s="15">
        <v>42000</v>
      </c>
      <c r="AU27" s="15">
        <v>56000</v>
      </c>
      <c r="AV27" s="15">
        <v>14000</v>
      </c>
      <c r="AW27" s="16">
        <f t="shared" si="3"/>
        <v>0.33333333333333331</v>
      </c>
      <c r="AX27" s="15">
        <v>47000</v>
      </c>
      <c r="AY27" s="15">
        <v>32900</v>
      </c>
      <c r="AZ27" s="15">
        <v>32900</v>
      </c>
      <c r="BA27" s="16">
        <f t="shared" si="4"/>
        <v>0.7</v>
      </c>
      <c r="BB27" s="12"/>
    </row>
    <row r="28" spans="1:54" s="154" customFormat="1" ht="76.5" x14ac:dyDescent="0.25">
      <c r="A28" s="13">
        <v>25</v>
      </c>
      <c r="B28" s="13" t="s">
        <v>57</v>
      </c>
      <c r="C28" s="13" t="s">
        <v>66</v>
      </c>
      <c r="D28" s="13" t="s">
        <v>212</v>
      </c>
      <c r="E28" s="13" t="s">
        <v>213</v>
      </c>
      <c r="F28" s="13" t="s">
        <v>58</v>
      </c>
      <c r="G28" s="13" t="s">
        <v>59</v>
      </c>
      <c r="H28" s="13" t="s">
        <v>210</v>
      </c>
      <c r="I28" s="13" t="s">
        <v>214</v>
      </c>
      <c r="J28" s="13" t="s">
        <v>215</v>
      </c>
      <c r="K28" s="13" t="s">
        <v>216</v>
      </c>
      <c r="L28" s="13">
        <v>-12.489610672</v>
      </c>
      <c r="M28" s="13">
        <v>-74.62223815918</v>
      </c>
      <c r="N28" s="39">
        <v>3926</v>
      </c>
      <c r="O28" s="13">
        <v>1</v>
      </c>
      <c r="P28" s="14">
        <v>44</v>
      </c>
      <c r="Q28" s="14">
        <v>24</v>
      </c>
      <c r="R28" s="14">
        <v>20</v>
      </c>
      <c r="S28" s="14">
        <v>2</v>
      </c>
      <c r="T28" s="14">
        <v>4</v>
      </c>
      <c r="U28" s="14">
        <f>Tabla15[[#This Row],[Nº SOCIO JOVEN(M)]]+Tabla15[[#This Row],[Nº SOCIO JOVEN(F)]]</f>
        <v>6</v>
      </c>
      <c r="V28" s="14">
        <v>43</v>
      </c>
      <c r="W28" s="14">
        <v>24</v>
      </c>
      <c r="X28" s="14">
        <v>19</v>
      </c>
      <c r="Y28" s="14">
        <v>2</v>
      </c>
      <c r="Z28" s="14">
        <v>4</v>
      </c>
      <c r="AA28" s="14">
        <f>Tabla15[[#This Row],[Nº FAMILIA JOVEN(M)]]+Tabla15[[#This Row],[Nº FAMILIA JOVEN(F)]]</f>
        <v>6</v>
      </c>
      <c r="AB28" s="52">
        <v>39440</v>
      </c>
      <c r="AC28" s="45">
        <v>0</v>
      </c>
      <c r="AD28" s="52">
        <v>9360</v>
      </c>
      <c r="AE28" s="52">
        <v>48888.14</v>
      </c>
      <c r="AF28" s="14" t="s">
        <v>61</v>
      </c>
      <c r="AG28" s="14">
        <v>77</v>
      </c>
      <c r="AH28" s="14">
        <v>0</v>
      </c>
      <c r="AI28" s="14">
        <v>0</v>
      </c>
      <c r="AJ28" s="14">
        <v>0</v>
      </c>
      <c r="AK28" s="16" t="e">
        <f t="shared" si="0"/>
        <v>#DIV/0!</v>
      </c>
      <c r="AL28" s="14">
        <v>0</v>
      </c>
      <c r="AM28" s="14">
        <v>0</v>
      </c>
      <c r="AN28" s="14">
        <v>0</v>
      </c>
      <c r="AO28" s="16" t="e">
        <f t="shared" si="1"/>
        <v>#DIV/0!</v>
      </c>
      <c r="AP28" s="14">
        <v>0</v>
      </c>
      <c r="AQ28" s="14">
        <v>0</v>
      </c>
      <c r="AR28" s="14">
        <v>0</v>
      </c>
      <c r="AS28" s="16" t="e">
        <f t="shared" si="2"/>
        <v>#DIV/0!</v>
      </c>
      <c r="AT28" s="14">
        <v>0</v>
      </c>
      <c r="AU28" s="14">
        <v>0</v>
      </c>
      <c r="AV28" s="14">
        <v>0</v>
      </c>
      <c r="AW28" s="16" t="e">
        <f t="shared" si="3"/>
        <v>#DIV/0!</v>
      </c>
      <c r="AX28" s="15">
        <v>69950</v>
      </c>
      <c r="AY28" s="15">
        <v>36120</v>
      </c>
      <c r="AZ28" s="15">
        <v>36120</v>
      </c>
      <c r="BA28" s="16">
        <f t="shared" si="4"/>
        <v>0.51636883488205865</v>
      </c>
      <c r="BB28" s="12"/>
    </row>
    <row r="29" spans="1:54" s="154" customFormat="1" ht="25.5" x14ac:dyDescent="0.25">
      <c r="A29" s="13">
        <v>26</v>
      </c>
      <c r="B29" s="13" t="s">
        <v>98</v>
      </c>
      <c r="C29" s="13" t="s">
        <v>195</v>
      </c>
      <c r="D29" s="13" t="s">
        <v>217</v>
      </c>
      <c r="E29" s="13" t="s">
        <v>218</v>
      </c>
      <c r="F29" s="13" t="s">
        <v>71</v>
      </c>
      <c r="G29" s="13" t="s">
        <v>141</v>
      </c>
      <c r="H29" s="13" t="s">
        <v>210</v>
      </c>
      <c r="I29" s="13" t="s">
        <v>219</v>
      </c>
      <c r="J29" s="13" t="s">
        <v>106</v>
      </c>
      <c r="K29" s="13" t="s">
        <v>220</v>
      </c>
      <c r="L29" s="13">
        <v>-12.26311206818</v>
      </c>
      <c r="M29" s="13">
        <v>-74.96979522705</v>
      </c>
      <c r="N29" s="39">
        <v>3361</v>
      </c>
      <c r="O29" s="13">
        <v>1</v>
      </c>
      <c r="P29" s="14">
        <v>14</v>
      </c>
      <c r="Q29" s="14">
        <v>9</v>
      </c>
      <c r="R29" s="14">
        <v>5</v>
      </c>
      <c r="S29" s="14">
        <v>1</v>
      </c>
      <c r="T29" s="14">
        <v>2</v>
      </c>
      <c r="U29" s="14">
        <f>Tabla15[[#This Row],[Nº SOCIO JOVEN(M)]]+Tabla15[[#This Row],[Nº SOCIO JOVEN(F)]]</f>
        <v>3</v>
      </c>
      <c r="V29" s="14">
        <v>14</v>
      </c>
      <c r="W29" s="14">
        <v>9</v>
      </c>
      <c r="X29" s="14">
        <v>5</v>
      </c>
      <c r="Y29" s="14">
        <v>1</v>
      </c>
      <c r="Z29" s="14">
        <v>2</v>
      </c>
      <c r="AA29" s="14">
        <f>Tabla15[[#This Row],[Nº FAMILIA JOVEN(M)]]+Tabla15[[#This Row],[Nº FAMILIA JOVEN(F)]]</f>
        <v>3</v>
      </c>
      <c r="AB29" s="52">
        <v>35000</v>
      </c>
      <c r="AC29" s="52">
        <v>15000</v>
      </c>
      <c r="AD29" s="45">
        <v>0</v>
      </c>
      <c r="AE29" s="52">
        <v>50216.1</v>
      </c>
      <c r="AF29" s="14" t="s">
        <v>88</v>
      </c>
      <c r="AG29" s="14">
        <v>82</v>
      </c>
      <c r="AH29" s="14">
        <v>12</v>
      </c>
      <c r="AI29" s="14">
        <v>18</v>
      </c>
      <c r="AJ29" s="14">
        <v>6</v>
      </c>
      <c r="AK29" s="16">
        <f t="shared" si="0"/>
        <v>0.5</v>
      </c>
      <c r="AL29" s="15">
        <v>25200</v>
      </c>
      <c r="AM29" s="15">
        <v>46800</v>
      </c>
      <c r="AN29" s="15">
        <v>21600</v>
      </c>
      <c r="AO29" s="16">
        <f t="shared" si="1"/>
        <v>0.8571428571428571</v>
      </c>
      <c r="AP29" s="14">
        <v>12</v>
      </c>
      <c r="AQ29" s="14">
        <v>18</v>
      </c>
      <c r="AR29" s="14">
        <v>6</v>
      </c>
      <c r="AS29" s="16">
        <f t="shared" si="2"/>
        <v>0.5</v>
      </c>
      <c r="AT29" s="15">
        <v>25200</v>
      </c>
      <c r="AU29" s="15">
        <v>46800</v>
      </c>
      <c r="AV29" s="15">
        <v>21600</v>
      </c>
      <c r="AW29" s="16">
        <f t="shared" si="3"/>
        <v>0.8571428571428571</v>
      </c>
      <c r="AX29" s="15">
        <v>42800</v>
      </c>
      <c r="AY29" s="15">
        <v>33852</v>
      </c>
      <c r="AZ29" s="15">
        <v>33852</v>
      </c>
      <c r="BA29" s="16">
        <f t="shared" si="4"/>
        <v>0.79093457943925238</v>
      </c>
      <c r="BB29" s="12"/>
    </row>
    <row r="30" spans="1:54" s="154" customFormat="1" ht="76.5" x14ac:dyDescent="0.25">
      <c r="A30" s="13">
        <v>27</v>
      </c>
      <c r="B30" s="13" t="s">
        <v>57</v>
      </c>
      <c r="C30" s="13" t="s">
        <v>196</v>
      </c>
      <c r="D30" s="13" t="s">
        <v>221</v>
      </c>
      <c r="E30" s="13" t="s">
        <v>222</v>
      </c>
      <c r="F30" s="13" t="s">
        <v>64</v>
      </c>
      <c r="G30" s="13" t="s">
        <v>172</v>
      </c>
      <c r="H30" s="13" t="s">
        <v>210</v>
      </c>
      <c r="I30" s="13" t="s">
        <v>219</v>
      </c>
      <c r="J30" s="13" t="s">
        <v>223</v>
      </c>
      <c r="K30" s="13" t="s">
        <v>224</v>
      </c>
      <c r="L30" s="13">
        <v>-12.279049873350001</v>
      </c>
      <c r="M30" s="13">
        <v>-75.064018249509999</v>
      </c>
      <c r="N30" s="39">
        <v>3859</v>
      </c>
      <c r="O30" s="13">
        <v>1</v>
      </c>
      <c r="P30" s="14">
        <v>39</v>
      </c>
      <c r="Q30" s="14">
        <v>24</v>
      </c>
      <c r="R30" s="14">
        <v>15</v>
      </c>
      <c r="S30" s="14">
        <v>5</v>
      </c>
      <c r="T30" s="14">
        <v>2</v>
      </c>
      <c r="U30" s="14">
        <f>Tabla15[[#This Row],[Nº SOCIO JOVEN(M)]]+Tabla15[[#This Row],[Nº SOCIO JOVEN(F)]]</f>
        <v>7</v>
      </c>
      <c r="V30" s="14">
        <v>39</v>
      </c>
      <c r="W30" s="14">
        <v>24</v>
      </c>
      <c r="X30" s="14">
        <v>15</v>
      </c>
      <c r="Y30" s="14">
        <v>5</v>
      </c>
      <c r="Z30" s="14">
        <v>2</v>
      </c>
      <c r="AA30" s="14">
        <f>Tabla15[[#This Row],[Nº FAMILIA JOVEN(M)]]+Tabla15[[#This Row],[Nº FAMILIA JOVEN(F)]]</f>
        <v>7</v>
      </c>
      <c r="AB30" s="52">
        <v>39440</v>
      </c>
      <c r="AC30" s="45">
        <v>0</v>
      </c>
      <c r="AD30" s="52">
        <v>9360</v>
      </c>
      <c r="AE30" s="52">
        <v>48989.33</v>
      </c>
      <c r="AF30" s="14" t="s">
        <v>88</v>
      </c>
      <c r="AG30" s="14">
        <v>88.5</v>
      </c>
      <c r="AH30" s="14">
        <v>0</v>
      </c>
      <c r="AI30" s="14">
        <v>0</v>
      </c>
      <c r="AJ30" s="14">
        <v>0</v>
      </c>
      <c r="AK30" s="16" t="e">
        <f t="shared" si="0"/>
        <v>#DIV/0!</v>
      </c>
      <c r="AL30" s="14">
        <v>0</v>
      </c>
      <c r="AM30" s="14">
        <v>0</v>
      </c>
      <c r="AN30" s="14">
        <v>0</v>
      </c>
      <c r="AO30" s="16" t="e">
        <f t="shared" si="1"/>
        <v>#DIV/0!</v>
      </c>
      <c r="AP30" s="14">
        <v>0</v>
      </c>
      <c r="AQ30" s="14">
        <v>0</v>
      </c>
      <c r="AR30" s="14">
        <v>0</v>
      </c>
      <c r="AS30" s="16" t="e">
        <f t="shared" si="2"/>
        <v>#DIV/0!</v>
      </c>
      <c r="AT30" s="14">
        <v>0</v>
      </c>
      <c r="AU30" s="14">
        <v>0</v>
      </c>
      <c r="AV30" s="14">
        <v>0</v>
      </c>
      <c r="AW30" s="16" t="e">
        <f t="shared" si="3"/>
        <v>#DIV/0!</v>
      </c>
      <c r="AX30" s="15">
        <v>17568</v>
      </c>
      <c r="AY30" s="15">
        <v>14130</v>
      </c>
      <c r="AZ30" s="15">
        <v>14130</v>
      </c>
      <c r="BA30" s="16">
        <f t="shared" si="4"/>
        <v>0.80430327868852458</v>
      </c>
      <c r="BB30" s="12"/>
    </row>
    <row r="31" spans="1:54" s="154" customFormat="1" ht="89.25" x14ac:dyDescent="0.25">
      <c r="A31" s="13">
        <v>28</v>
      </c>
      <c r="B31" s="13" t="s">
        <v>57</v>
      </c>
      <c r="C31" s="13" t="s">
        <v>197</v>
      </c>
      <c r="D31" s="13" t="s">
        <v>225</v>
      </c>
      <c r="E31" s="13" t="s">
        <v>226</v>
      </c>
      <c r="F31" s="13" t="s">
        <v>102</v>
      </c>
      <c r="G31" s="13" t="s">
        <v>103</v>
      </c>
      <c r="H31" s="13" t="s">
        <v>210</v>
      </c>
      <c r="I31" s="13" t="s">
        <v>214</v>
      </c>
      <c r="J31" s="13" t="s">
        <v>215</v>
      </c>
      <c r="K31" s="13" t="s">
        <v>227</v>
      </c>
      <c r="L31" s="13">
        <v>-12.51904964447</v>
      </c>
      <c r="M31" s="13">
        <v>-74.576667785639998</v>
      </c>
      <c r="N31" s="39">
        <v>3538</v>
      </c>
      <c r="O31" s="13">
        <v>1</v>
      </c>
      <c r="P31" s="14">
        <v>40</v>
      </c>
      <c r="Q31" s="14">
        <v>33</v>
      </c>
      <c r="R31" s="14">
        <v>7</v>
      </c>
      <c r="S31" s="14">
        <v>3</v>
      </c>
      <c r="T31" s="14">
        <v>1</v>
      </c>
      <c r="U31" s="14">
        <f>Tabla15[[#This Row],[Nº SOCIO JOVEN(M)]]+Tabla15[[#This Row],[Nº SOCIO JOVEN(F)]]</f>
        <v>4</v>
      </c>
      <c r="V31" s="14">
        <v>40</v>
      </c>
      <c r="W31" s="14">
        <v>33</v>
      </c>
      <c r="X31" s="14">
        <v>7</v>
      </c>
      <c r="Y31" s="14">
        <v>3</v>
      </c>
      <c r="Z31" s="14">
        <v>1</v>
      </c>
      <c r="AA31" s="14">
        <f>Tabla15[[#This Row],[Nº FAMILIA JOVEN(M)]]+Tabla15[[#This Row],[Nº FAMILIA JOVEN(F)]]</f>
        <v>4</v>
      </c>
      <c r="AB31" s="52">
        <v>39440</v>
      </c>
      <c r="AC31" s="45">
        <v>0</v>
      </c>
      <c r="AD31" s="52">
        <v>9360</v>
      </c>
      <c r="AE31" s="52">
        <v>48897.25</v>
      </c>
      <c r="AF31" s="14" t="s">
        <v>61</v>
      </c>
      <c r="AG31" s="14">
        <v>75.900000000000006</v>
      </c>
      <c r="AH31" s="14">
        <v>0</v>
      </c>
      <c r="AI31" s="14">
        <v>0</v>
      </c>
      <c r="AJ31" s="14">
        <v>0</v>
      </c>
      <c r="AK31" s="16" t="e">
        <f t="shared" si="0"/>
        <v>#DIV/0!</v>
      </c>
      <c r="AL31" s="14">
        <v>0</v>
      </c>
      <c r="AM31" s="14">
        <v>0</v>
      </c>
      <c r="AN31" s="14">
        <v>0</v>
      </c>
      <c r="AO31" s="16" t="e">
        <f t="shared" si="1"/>
        <v>#DIV/0!</v>
      </c>
      <c r="AP31" s="14">
        <v>0</v>
      </c>
      <c r="AQ31" s="14">
        <v>0</v>
      </c>
      <c r="AR31" s="14">
        <v>0</v>
      </c>
      <c r="AS31" s="16" t="e">
        <f t="shared" si="2"/>
        <v>#DIV/0!</v>
      </c>
      <c r="AT31" s="14">
        <v>0</v>
      </c>
      <c r="AU31" s="14">
        <v>0</v>
      </c>
      <c r="AV31" s="14">
        <v>0</v>
      </c>
      <c r="AW31" s="16" t="e">
        <f t="shared" si="3"/>
        <v>#DIV/0!</v>
      </c>
      <c r="AX31" s="15">
        <v>47500</v>
      </c>
      <c r="AY31" s="15">
        <v>33160</v>
      </c>
      <c r="AZ31" s="15">
        <v>33160</v>
      </c>
      <c r="BA31" s="16">
        <f t="shared" si="4"/>
        <v>0.69810526315789478</v>
      </c>
      <c r="BB31" s="12"/>
    </row>
    <row r="32" spans="1:54" s="154" customFormat="1" ht="25.5" x14ac:dyDescent="0.25">
      <c r="A32" s="13">
        <v>29</v>
      </c>
      <c r="B32" s="13" t="s">
        <v>98</v>
      </c>
      <c r="C32" s="13" t="s">
        <v>198</v>
      </c>
      <c r="D32" s="13" t="s">
        <v>228</v>
      </c>
      <c r="E32" s="13" t="s">
        <v>229</v>
      </c>
      <c r="F32" s="13" t="s">
        <v>69</v>
      </c>
      <c r="G32" s="13" t="s">
        <v>143</v>
      </c>
      <c r="H32" s="13" t="s">
        <v>210</v>
      </c>
      <c r="I32" s="13" t="s">
        <v>219</v>
      </c>
      <c r="J32" s="13" t="s">
        <v>106</v>
      </c>
      <c r="K32" s="13" t="s">
        <v>230</v>
      </c>
      <c r="L32" s="13">
        <v>-12.20404338837</v>
      </c>
      <c r="M32" s="13">
        <v>-74.956016540530001</v>
      </c>
      <c r="N32" s="39">
        <v>3260</v>
      </c>
      <c r="O32" s="13">
        <v>1</v>
      </c>
      <c r="P32" s="14">
        <v>14</v>
      </c>
      <c r="Q32" s="14">
        <v>12</v>
      </c>
      <c r="R32" s="14">
        <v>2</v>
      </c>
      <c r="S32" s="14">
        <v>1</v>
      </c>
      <c r="T32" s="14">
        <v>0</v>
      </c>
      <c r="U32" s="14">
        <f>Tabla15[[#This Row],[Nº SOCIO JOVEN(M)]]+Tabla15[[#This Row],[Nº SOCIO JOVEN(F)]]</f>
        <v>1</v>
      </c>
      <c r="V32" s="14">
        <v>14</v>
      </c>
      <c r="W32" s="14">
        <v>12</v>
      </c>
      <c r="X32" s="14">
        <v>2</v>
      </c>
      <c r="Y32" s="14">
        <v>1</v>
      </c>
      <c r="Z32" s="14">
        <v>0</v>
      </c>
      <c r="AA32" s="14">
        <f>Tabla15[[#This Row],[Nº FAMILIA JOVEN(M)]]+Tabla15[[#This Row],[Nº FAMILIA JOVEN(F)]]</f>
        <v>1</v>
      </c>
      <c r="AB32" s="52">
        <v>35000</v>
      </c>
      <c r="AC32" s="52">
        <v>15000</v>
      </c>
      <c r="AD32" s="45">
        <v>0</v>
      </c>
      <c r="AE32" s="52">
        <v>50088.6</v>
      </c>
      <c r="AF32" s="14" t="s">
        <v>61</v>
      </c>
      <c r="AG32" s="14">
        <v>79.599999999999994</v>
      </c>
      <c r="AH32" s="15">
        <v>4540</v>
      </c>
      <c r="AI32" s="15">
        <v>7865</v>
      </c>
      <c r="AJ32" s="15">
        <v>3325</v>
      </c>
      <c r="AK32" s="16">
        <f t="shared" si="0"/>
        <v>0.73237885462555063</v>
      </c>
      <c r="AL32" s="15">
        <v>11350</v>
      </c>
      <c r="AM32" s="15">
        <v>23595</v>
      </c>
      <c r="AN32" s="15">
        <v>12245</v>
      </c>
      <c r="AO32" s="16">
        <f t="shared" si="1"/>
        <v>1.0788546255506608</v>
      </c>
      <c r="AP32" s="15">
        <v>3435</v>
      </c>
      <c r="AQ32" s="15">
        <v>6682</v>
      </c>
      <c r="AR32" s="15">
        <v>3247</v>
      </c>
      <c r="AS32" s="16">
        <f t="shared" si="2"/>
        <v>0.9452692867540029</v>
      </c>
      <c r="AT32" s="15">
        <v>8588</v>
      </c>
      <c r="AU32" s="15">
        <v>20046</v>
      </c>
      <c r="AV32" s="15">
        <v>11459</v>
      </c>
      <c r="AW32" s="16">
        <f t="shared" si="3"/>
        <v>1.3341872380065207</v>
      </c>
      <c r="AX32" s="15">
        <v>4850</v>
      </c>
      <c r="AY32" s="15">
        <v>16480</v>
      </c>
      <c r="AZ32" s="15">
        <v>16480</v>
      </c>
      <c r="BA32" s="16">
        <f t="shared" si="4"/>
        <v>3.3979381443298968</v>
      </c>
      <c r="BB32" s="12"/>
    </row>
    <row r="33" spans="1:54" s="154" customFormat="1" ht="25.5" x14ac:dyDescent="0.25">
      <c r="A33" s="13">
        <v>30</v>
      </c>
      <c r="B33" s="13" t="s">
        <v>98</v>
      </c>
      <c r="C33" s="13" t="s">
        <v>200</v>
      </c>
      <c r="D33" s="13" t="s">
        <v>232</v>
      </c>
      <c r="E33" s="13" t="s">
        <v>231</v>
      </c>
      <c r="F33" s="13" t="s">
        <v>69</v>
      </c>
      <c r="G33" s="13" t="s">
        <v>143</v>
      </c>
      <c r="H33" s="13" t="s">
        <v>210</v>
      </c>
      <c r="I33" s="13" t="s">
        <v>219</v>
      </c>
      <c r="J33" s="13" t="s">
        <v>106</v>
      </c>
      <c r="K33" s="13" t="s">
        <v>233</v>
      </c>
      <c r="L33" s="13">
        <v>-12.23454380035</v>
      </c>
      <c r="M33" s="13">
        <v>-74.939254760739999</v>
      </c>
      <c r="N33" s="39">
        <v>3273</v>
      </c>
      <c r="O33" s="13">
        <v>1</v>
      </c>
      <c r="P33" s="14">
        <v>16</v>
      </c>
      <c r="Q33" s="14">
        <v>16</v>
      </c>
      <c r="R33" s="14">
        <v>0</v>
      </c>
      <c r="S33" s="14">
        <v>0</v>
      </c>
      <c r="T33" s="14">
        <v>0</v>
      </c>
      <c r="U33" s="14">
        <f>Tabla15[[#This Row],[Nº SOCIO JOVEN(M)]]+Tabla15[[#This Row],[Nº SOCIO JOVEN(F)]]</f>
        <v>0</v>
      </c>
      <c r="V33" s="14">
        <v>12</v>
      </c>
      <c r="W33" s="14">
        <v>12</v>
      </c>
      <c r="X33" s="14">
        <v>0</v>
      </c>
      <c r="Y33" s="14">
        <v>0</v>
      </c>
      <c r="Z33" s="14">
        <v>0</v>
      </c>
      <c r="AA33" s="14">
        <f>Tabla15[[#This Row],[Nº FAMILIA JOVEN(M)]]+Tabla15[[#This Row],[Nº FAMILIA JOVEN(F)]]</f>
        <v>0</v>
      </c>
      <c r="AB33" s="52">
        <v>35000</v>
      </c>
      <c r="AC33" s="52">
        <v>15000</v>
      </c>
      <c r="AD33" s="45">
        <v>0</v>
      </c>
      <c r="AE33" s="52">
        <v>50091.3</v>
      </c>
      <c r="AF33" s="14" t="s">
        <v>61</v>
      </c>
      <c r="AG33" s="14">
        <v>78.5</v>
      </c>
      <c r="AH33" s="15">
        <v>3000</v>
      </c>
      <c r="AI33" s="15">
        <v>3500</v>
      </c>
      <c r="AJ33" s="14">
        <v>500</v>
      </c>
      <c r="AK33" s="16">
        <f t="shared" si="0"/>
        <v>0.16666666666666666</v>
      </c>
      <c r="AL33" s="15">
        <v>7500</v>
      </c>
      <c r="AM33" s="15">
        <v>10500</v>
      </c>
      <c r="AN33" s="15">
        <v>3000</v>
      </c>
      <c r="AO33" s="16">
        <f t="shared" si="1"/>
        <v>0.4</v>
      </c>
      <c r="AP33" s="15">
        <v>2300</v>
      </c>
      <c r="AQ33" s="15">
        <v>2800</v>
      </c>
      <c r="AR33" s="14">
        <v>500</v>
      </c>
      <c r="AS33" s="16">
        <f t="shared" si="2"/>
        <v>0.21739130434782608</v>
      </c>
      <c r="AT33" s="15">
        <v>5750</v>
      </c>
      <c r="AU33" s="15">
        <v>8400</v>
      </c>
      <c r="AV33" s="15">
        <v>2650</v>
      </c>
      <c r="AW33" s="16">
        <f t="shared" si="3"/>
        <v>0.46086956521739131</v>
      </c>
      <c r="AX33" s="15">
        <v>28500</v>
      </c>
      <c r="AY33" s="15">
        <v>19770</v>
      </c>
      <c r="AZ33" s="15">
        <v>19770</v>
      </c>
      <c r="BA33" s="16">
        <f t="shared" si="4"/>
        <v>0.69368421052631579</v>
      </c>
      <c r="BB33" s="12"/>
    </row>
    <row r="34" spans="1:54" s="154" customFormat="1" ht="89.25" x14ac:dyDescent="0.25">
      <c r="A34" s="13">
        <v>31</v>
      </c>
      <c r="B34" s="13" t="s">
        <v>57</v>
      </c>
      <c r="C34" s="13" t="s">
        <v>201</v>
      </c>
      <c r="D34" s="13" t="s">
        <v>234</v>
      </c>
      <c r="E34" s="13" t="s">
        <v>235</v>
      </c>
      <c r="F34" s="13" t="s">
        <v>58</v>
      </c>
      <c r="G34" s="13" t="s">
        <v>762</v>
      </c>
      <c r="H34" s="13" t="s">
        <v>210</v>
      </c>
      <c r="I34" s="13" t="s">
        <v>214</v>
      </c>
      <c r="J34" s="13" t="s">
        <v>236</v>
      </c>
      <c r="K34" s="13" t="s">
        <v>237</v>
      </c>
      <c r="L34" s="13">
        <v>-12.58676815033</v>
      </c>
      <c r="M34" s="13">
        <v>-74.468658447270002</v>
      </c>
      <c r="N34" s="39">
        <v>3730</v>
      </c>
      <c r="O34" s="13">
        <v>2</v>
      </c>
      <c r="P34" s="14">
        <v>41</v>
      </c>
      <c r="Q34" s="14">
        <v>22</v>
      </c>
      <c r="R34" s="14">
        <v>19</v>
      </c>
      <c r="S34" s="14">
        <v>4</v>
      </c>
      <c r="T34" s="14">
        <v>6</v>
      </c>
      <c r="U34" s="14">
        <f>Tabla15[[#This Row],[Nº SOCIO JOVEN(M)]]+Tabla15[[#This Row],[Nº SOCIO JOVEN(F)]]</f>
        <v>10</v>
      </c>
      <c r="V34" s="14">
        <v>41</v>
      </c>
      <c r="W34" s="14">
        <v>22</v>
      </c>
      <c r="X34" s="14">
        <v>19</v>
      </c>
      <c r="Y34" s="14">
        <v>4</v>
      </c>
      <c r="Z34" s="14">
        <v>6</v>
      </c>
      <c r="AA34" s="14">
        <f>Tabla15[[#This Row],[Nº FAMILIA JOVEN(M)]]+Tabla15[[#This Row],[Nº FAMILIA JOVEN(F)]]</f>
        <v>10</v>
      </c>
      <c r="AB34" s="52">
        <v>39440</v>
      </c>
      <c r="AC34" s="45">
        <v>0.5</v>
      </c>
      <c r="AD34" s="52">
        <v>9360</v>
      </c>
      <c r="AE34" s="52">
        <v>48973.1</v>
      </c>
      <c r="AF34" s="14" t="s">
        <v>63</v>
      </c>
      <c r="AG34" s="14">
        <v>68.7</v>
      </c>
      <c r="AH34" s="14">
        <v>0</v>
      </c>
      <c r="AI34" s="14">
        <v>0</v>
      </c>
      <c r="AJ34" s="14">
        <v>0</v>
      </c>
      <c r="AK34" s="16" t="e">
        <f t="shared" si="0"/>
        <v>#DIV/0!</v>
      </c>
      <c r="AL34" s="14">
        <v>0</v>
      </c>
      <c r="AM34" s="14">
        <v>0</v>
      </c>
      <c r="AN34" s="14">
        <v>0</v>
      </c>
      <c r="AO34" s="16" t="e">
        <f t="shared" si="1"/>
        <v>#DIV/0!</v>
      </c>
      <c r="AP34" s="14">
        <v>0</v>
      </c>
      <c r="AQ34" s="14">
        <v>0</v>
      </c>
      <c r="AR34" s="14">
        <v>0</v>
      </c>
      <c r="AS34" s="16" t="e">
        <f t="shared" si="2"/>
        <v>#DIV/0!</v>
      </c>
      <c r="AT34" s="14">
        <v>0</v>
      </c>
      <c r="AU34" s="14">
        <v>0</v>
      </c>
      <c r="AV34" s="14">
        <v>0</v>
      </c>
      <c r="AW34" s="16" t="e">
        <f t="shared" si="3"/>
        <v>#DIV/0!</v>
      </c>
      <c r="AX34" s="15">
        <v>92425</v>
      </c>
      <c r="AY34" s="15">
        <v>38509</v>
      </c>
      <c r="AZ34" s="15">
        <v>38509</v>
      </c>
      <c r="BA34" s="16">
        <f t="shared" si="4"/>
        <v>0.41665133892345146</v>
      </c>
      <c r="BB34" s="12"/>
    </row>
    <row r="35" spans="1:54" s="154" customFormat="1" ht="76.5" x14ac:dyDescent="0.25">
      <c r="A35" s="13">
        <v>32</v>
      </c>
      <c r="B35" s="13" t="s">
        <v>57</v>
      </c>
      <c r="C35" s="13" t="s">
        <v>202</v>
      </c>
      <c r="D35" s="13" t="s">
        <v>238</v>
      </c>
      <c r="E35" s="13" t="s">
        <v>239</v>
      </c>
      <c r="F35" s="13" t="s">
        <v>58</v>
      </c>
      <c r="G35" s="13" t="s">
        <v>59</v>
      </c>
      <c r="H35" s="13" t="s">
        <v>210</v>
      </c>
      <c r="I35" s="13" t="s">
        <v>214</v>
      </c>
      <c r="J35" s="13" t="s">
        <v>236</v>
      </c>
      <c r="K35" s="13" t="s">
        <v>240</v>
      </c>
      <c r="L35" s="13">
        <v>-12.61434745789</v>
      </c>
      <c r="M35" s="13">
        <v>-74.48201751709</v>
      </c>
      <c r="N35" s="39">
        <v>3946</v>
      </c>
      <c r="O35" s="13">
        <v>2</v>
      </c>
      <c r="P35" s="14">
        <v>46</v>
      </c>
      <c r="Q35" s="14">
        <v>33</v>
      </c>
      <c r="R35" s="14">
        <v>13</v>
      </c>
      <c r="S35" s="14">
        <v>5</v>
      </c>
      <c r="T35" s="14">
        <v>3</v>
      </c>
      <c r="U35" s="14">
        <f>Tabla15[[#This Row],[Nº SOCIO JOVEN(M)]]+Tabla15[[#This Row],[Nº SOCIO JOVEN(F)]]</f>
        <v>8</v>
      </c>
      <c r="V35" s="14">
        <v>43</v>
      </c>
      <c r="W35" s="14">
        <v>33</v>
      </c>
      <c r="X35" s="14">
        <v>10</v>
      </c>
      <c r="Y35" s="14">
        <v>5</v>
      </c>
      <c r="Z35" s="14">
        <v>2</v>
      </c>
      <c r="AA35" s="14">
        <f>Tabla15[[#This Row],[Nº FAMILIA JOVEN(M)]]+Tabla15[[#This Row],[Nº FAMILIA JOVEN(F)]]</f>
        <v>7</v>
      </c>
      <c r="AB35" s="52">
        <v>39440</v>
      </c>
      <c r="AC35" s="45">
        <v>22</v>
      </c>
      <c r="AD35" s="52">
        <v>9360</v>
      </c>
      <c r="AE35" s="52">
        <v>48909.01</v>
      </c>
      <c r="AF35" s="14" t="s">
        <v>61</v>
      </c>
      <c r="AG35" s="14">
        <v>76.7</v>
      </c>
      <c r="AH35" s="14">
        <v>0</v>
      </c>
      <c r="AI35" s="14">
        <v>0</v>
      </c>
      <c r="AJ35" s="14">
        <v>0</v>
      </c>
      <c r="AK35" s="16" t="e">
        <f t="shared" si="0"/>
        <v>#DIV/0!</v>
      </c>
      <c r="AL35" s="14">
        <v>0</v>
      </c>
      <c r="AM35" s="14">
        <v>0</v>
      </c>
      <c r="AN35" s="14">
        <v>0</v>
      </c>
      <c r="AO35" s="16" t="e">
        <f t="shared" si="1"/>
        <v>#DIV/0!</v>
      </c>
      <c r="AP35" s="14">
        <v>0</v>
      </c>
      <c r="AQ35" s="14">
        <v>0</v>
      </c>
      <c r="AR35" s="14">
        <v>0</v>
      </c>
      <c r="AS35" s="16" t="e">
        <f t="shared" si="2"/>
        <v>#DIV/0!</v>
      </c>
      <c r="AT35" s="14">
        <v>0</v>
      </c>
      <c r="AU35" s="14">
        <v>0</v>
      </c>
      <c r="AV35" s="14">
        <v>0</v>
      </c>
      <c r="AW35" s="16" t="e">
        <f t="shared" si="3"/>
        <v>#DIV/0!</v>
      </c>
      <c r="AX35" s="15">
        <v>71550</v>
      </c>
      <c r="AY35" s="15">
        <v>36200</v>
      </c>
      <c r="AZ35" s="15">
        <v>36200</v>
      </c>
      <c r="BA35" s="16">
        <f t="shared" si="4"/>
        <v>0.50593990216631723</v>
      </c>
      <c r="BB35" s="12"/>
    </row>
    <row r="36" spans="1:54" s="154" customFormat="1" ht="38.25" x14ac:dyDescent="0.25">
      <c r="A36" s="13">
        <v>33</v>
      </c>
      <c r="B36" s="13" t="s">
        <v>68</v>
      </c>
      <c r="C36" s="13" t="s">
        <v>203</v>
      </c>
      <c r="D36" s="13" t="s">
        <v>241</v>
      </c>
      <c r="E36" s="13" t="s">
        <v>242</v>
      </c>
      <c r="F36" s="13" t="s">
        <v>69</v>
      </c>
      <c r="G36" s="13" t="s">
        <v>86</v>
      </c>
      <c r="H36" s="13" t="s">
        <v>210</v>
      </c>
      <c r="I36" s="13" t="s">
        <v>219</v>
      </c>
      <c r="J36" s="13" t="s">
        <v>106</v>
      </c>
      <c r="K36" s="13" t="s">
        <v>243</v>
      </c>
      <c r="L36" s="13">
        <v>-12.23071956635</v>
      </c>
      <c r="M36" s="13">
        <v>-74.90517425537</v>
      </c>
      <c r="N36" s="39">
        <v>3362</v>
      </c>
      <c r="O36" s="13">
        <v>1</v>
      </c>
      <c r="P36" s="14">
        <v>34</v>
      </c>
      <c r="Q36" s="14">
        <v>25</v>
      </c>
      <c r="R36" s="14">
        <v>9</v>
      </c>
      <c r="S36" s="14">
        <v>7</v>
      </c>
      <c r="T36" s="14">
        <v>4</v>
      </c>
      <c r="U36" s="14">
        <f>Tabla15[[#This Row],[Nº SOCIO JOVEN(M)]]+Tabla15[[#This Row],[Nº SOCIO JOVEN(F)]]</f>
        <v>11</v>
      </c>
      <c r="V36" s="14">
        <v>26</v>
      </c>
      <c r="W36" s="14">
        <v>21</v>
      </c>
      <c r="X36" s="14">
        <v>5</v>
      </c>
      <c r="Y36" s="14">
        <v>7</v>
      </c>
      <c r="Z36" s="14">
        <v>2</v>
      </c>
      <c r="AA36" s="14">
        <f>Tabla15[[#This Row],[Nº FAMILIA JOVEN(M)]]+Tabla15[[#This Row],[Nº FAMILIA JOVEN(F)]]</f>
        <v>9</v>
      </c>
      <c r="AB36" s="52">
        <v>42300</v>
      </c>
      <c r="AC36" s="52">
        <v>18004</v>
      </c>
      <c r="AD36" s="45">
        <v>0</v>
      </c>
      <c r="AE36" s="52">
        <v>60504.53</v>
      </c>
      <c r="AF36" s="14" t="s">
        <v>61</v>
      </c>
      <c r="AG36" s="14">
        <v>70</v>
      </c>
      <c r="AH36" s="15">
        <v>40000</v>
      </c>
      <c r="AI36" s="15">
        <v>100000</v>
      </c>
      <c r="AJ36" s="15">
        <v>60000</v>
      </c>
      <c r="AK36" s="16">
        <f t="shared" si="0"/>
        <v>1.5</v>
      </c>
      <c r="AL36" s="15">
        <v>40000</v>
      </c>
      <c r="AM36" s="15">
        <v>120000</v>
      </c>
      <c r="AN36" s="15">
        <v>80000</v>
      </c>
      <c r="AO36" s="16">
        <f t="shared" si="1"/>
        <v>2</v>
      </c>
      <c r="AP36" s="15">
        <v>35000</v>
      </c>
      <c r="AQ36" s="15">
        <v>100000</v>
      </c>
      <c r="AR36" s="15">
        <v>65000</v>
      </c>
      <c r="AS36" s="16">
        <f t="shared" si="2"/>
        <v>1.8571428571428572</v>
      </c>
      <c r="AT36" s="15">
        <v>35000</v>
      </c>
      <c r="AU36" s="15">
        <v>120000</v>
      </c>
      <c r="AV36" s="15">
        <v>85000</v>
      </c>
      <c r="AW36" s="16">
        <f t="shared" si="3"/>
        <v>2.4285714285714284</v>
      </c>
      <c r="AX36" s="15">
        <v>31750</v>
      </c>
      <c r="AY36" s="15">
        <v>31700</v>
      </c>
      <c r="AZ36" s="15">
        <v>31700</v>
      </c>
      <c r="BA36" s="16">
        <f t="shared" si="4"/>
        <v>0.99842519685039366</v>
      </c>
      <c r="BB36" s="12"/>
    </row>
    <row r="37" spans="1:54" s="154" customFormat="1" ht="76.5" x14ac:dyDescent="0.25">
      <c r="A37" s="13">
        <v>34</v>
      </c>
      <c r="B37" s="13" t="s">
        <v>57</v>
      </c>
      <c r="C37" s="13" t="s">
        <v>204</v>
      </c>
      <c r="D37" s="13" t="s">
        <v>244</v>
      </c>
      <c r="E37" s="13" t="s">
        <v>245</v>
      </c>
      <c r="F37" s="13" t="s">
        <v>64</v>
      </c>
      <c r="G37" s="13" t="s">
        <v>67</v>
      </c>
      <c r="H37" s="13" t="s">
        <v>210</v>
      </c>
      <c r="I37" s="13" t="s">
        <v>219</v>
      </c>
      <c r="J37" s="13" t="s">
        <v>223</v>
      </c>
      <c r="K37" s="13" t="s">
        <v>246</v>
      </c>
      <c r="L37" s="13">
        <v>-12.26974105835</v>
      </c>
      <c r="M37" s="13">
        <v>-75.085731506350001</v>
      </c>
      <c r="N37" s="39">
        <v>3933</v>
      </c>
      <c r="O37" s="13">
        <v>1</v>
      </c>
      <c r="P37" s="14">
        <v>52</v>
      </c>
      <c r="Q37" s="14">
        <v>37</v>
      </c>
      <c r="R37" s="14">
        <v>15</v>
      </c>
      <c r="S37" s="14">
        <v>5</v>
      </c>
      <c r="T37" s="14">
        <v>0</v>
      </c>
      <c r="U37" s="14">
        <f>Tabla15[[#This Row],[Nº SOCIO JOVEN(M)]]+Tabla15[[#This Row],[Nº SOCIO JOVEN(F)]]</f>
        <v>5</v>
      </c>
      <c r="V37" s="14">
        <v>52</v>
      </c>
      <c r="W37" s="14">
        <v>37</v>
      </c>
      <c r="X37" s="14">
        <v>15</v>
      </c>
      <c r="Y37" s="14">
        <v>5</v>
      </c>
      <c r="Z37" s="14">
        <v>0</v>
      </c>
      <c r="AA37" s="14">
        <f>Tabla15[[#This Row],[Nº FAMILIA JOVEN(M)]]+Tabla15[[#This Row],[Nº FAMILIA JOVEN(F)]]</f>
        <v>5</v>
      </c>
      <c r="AB37" s="52">
        <v>39440</v>
      </c>
      <c r="AC37" s="45">
        <v>0</v>
      </c>
      <c r="AD37" s="52">
        <v>9360</v>
      </c>
      <c r="AE37" s="52">
        <v>48989.18</v>
      </c>
      <c r="AF37" s="14" t="s">
        <v>61</v>
      </c>
      <c r="AG37" s="14">
        <v>76.8</v>
      </c>
      <c r="AH37" s="14">
        <v>0</v>
      </c>
      <c r="AI37" s="14">
        <v>0</v>
      </c>
      <c r="AJ37" s="14">
        <v>0</v>
      </c>
      <c r="AK37" s="16" t="e">
        <f t="shared" si="0"/>
        <v>#DIV/0!</v>
      </c>
      <c r="AL37" s="14">
        <v>0</v>
      </c>
      <c r="AM37" s="14">
        <v>0</v>
      </c>
      <c r="AN37" s="14">
        <v>0</v>
      </c>
      <c r="AO37" s="16" t="e">
        <f t="shared" si="1"/>
        <v>#DIV/0!</v>
      </c>
      <c r="AP37" s="14">
        <v>0</v>
      </c>
      <c r="AQ37" s="14">
        <v>0</v>
      </c>
      <c r="AR37" s="14">
        <v>0</v>
      </c>
      <c r="AS37" s="16" t="e">
        <f t="shared" si="2"/>
        <v>#DIV/0!</v>
      </c>
      <c r="AT37" s="14">
        <v>0</v>
      </c>
      <c r="AU37" s="14">
        <v>0</v>
      </c>
      <c r="AV37" s="14">
        <v>0</v>
      </c>
      <c r="AW37" s="16" t="e">
        <f t="shared" si="3"/>
        <v>#DIV/0!</v>
      </c>
      <c r="AX37" s="15">
        <v>34000</v>
      </c>
      <c r="AY37" s="15">
        <v>29780</v>
      </c>
      <c r="AZ37" s="15">
        <v>29780</v>
      </c>
      <c r="BA37" s="16">
        <f t="shared" si="4"/>
        <v>0.87588235294117645</v>
      </c>
      <c r="BB37" s="12"/>
    </row>
    <row r="38" spans="1:54" s="154" customFormat="1" ht="76.5" x14ac:dyDescent="0.25">
      <c r="A38" s="13">
        <v>35</v>
      </c>
      <c r="B38" s="13" t="s">
        <v>57</v>
      </c>
      <c r="C38" s="13" t="s">
        <v>101</v>
      </c>
      <c r="D38" s="13" t="s">
        <v>247</v>
      </c>
      <c r="E38" s="13" t="s">
        <v>248</v>
      </c>
      <c r="F38" s="13" t="s">
        <v>102</v>
      </c>
      <c r="G38" s="13" t="s">
        <v>211</v>
      </c>
      <c r="H38" s="13" t="s">
        <v>210</v>
      </c>
      <c r="I38" s="13" t="s">
        <v>219</v>
      </c>
      <c r="J38" s="13" t="s">
        <v>223</v>
      </c>
      <c r="K38" s="13" t="s">
        <v>249</v>
      </c>
      <c r="L38" s="13">
        <v>-12.29960441589</v>
      </c>
      <c r="M38" s="13">
        <v>-75.003311157230002</v>
      </c>
      <c r="N38" s="39">
        <v>3650</v>
      </c>
      <c r="O38" s="13">
        <v>1</v>
      </c>
      <c r="P38" s="14">
        <v>60</v>
      </c>
      <c r="Q38" s="14">
        <v>44</v>
      </c>
      <c r="R38" s="14">
        <v>16</v>
      </c>
      <c r="S38" s="14">
        <v>5</v>
      </c>
      <c r="T38" s="14">
        <v>6</v>
      </c>
      <c r="U38" s="14">
        <f>Tabla15[[#This Row],[Nº SOCIO JOVEN(M)]]+Tabla15[[#This Row],[Nº SOCIO JOVEN(F)]]</f>
        <v>11</v>
      </c>
      <c r="V38" s="14">
        <v>60</v>
      </c>
      <c r="W38" s="14">
        <v>44</v>
      </c>
      <c r="X38" s="14">
        <v>16</v>
      </c>
      <c r="Y38" s="14">
        <v>5</v>
      </c>
      <c r="Z38" s="14">
        <v>6</v>
      </c>
      <c r="AA38" s="14">
        <f>Tabla15[[#This Row],[Nº FAMILIA JOVEN(M)]]+Tabla15[[#This Row],[Nº FAMILIA JOVEN(F)]]</f>
        <v>11</v>
      </c>
      <c r="AB38" s="52">
        <v>39440</v>
      </c>
      <c r="AC38" s="45">
        <v>0</v>
      </c>
      <c r="AD38" s="52">
        <v>9360</v>
      </c>
      <c r="AE38" s="52">
        <v>48981.13</v>
      </c>
      <c r="AF38" s="14" t="s">
        <v>63</v>
      </c>
      <c r="AG38" s="14">
        <v>69</v>
      </c>
      <c r="AH38" s="14">
        <v>0</v>
      </c>
      <c r="AI38" s="14">
        <v>0</v>
      </c>
      <c r="AJ38" s="14">
        <v>0</v>
      </c>
      <c r="AK38" s="16" t="e">
        <f t="shared" si="0"/>
        <v>#DIV/0!</v>
      </c>
      <c r="AL38" s="14">
        <v>0</v>
      </c>
      <c r="AM38" s="14">
        <v>0</v>
      </c>
      <c r="AN38" s="14">
        <v>0</v>
      </c>
      <c r="AO38" s="16" t="e">
        <f t="shared" si="1"/>
        <v>#DIV/0!</v>
      </c>
      <c r="AP38" s="14">
        <v>0</v>
      </c>
      <c r="AQ38" s="14">
        <v>0</v>
      </c>
      <c r="AR38" s="14">
        <v>0</v>
      </c>
      <c r="AS38" s="16" t="e">
        <f t="shared" si="2"/>
        <v>#DIV/0!</v>
      </c>
      <c r="AT38" s="14">
        <v>0</v>
      </c>
      <c r="AU38" s="14">
        <v>0</v>
      </c>
      <c r="AV38" s="14">
        <v>0</v>
      </c>
      <c r="AW38" s="16" t="e">
        <f t="shared" si="3"/>
        <v>#DIV/0!</v>
      </c>
      <c r="AX38" s="15">
        <v>30000</v>
      </c>
      <c r="AY38" s="15">
        <v>22530</v>
      </c>
      <c r="AZ38" s="15">
        <v>22530</v>
      </c>
      <c r="BA38" s="16">
        <f t="shared" si="4"/>
        <v>0.751</v>
      </c>
      <c r="BB38" s="12"/>
    </row>
    <row r="39" spans="1:54" s="154" customFormat="1" ht="76.5" x14ac:dyDescent="0.25">
      <c r="A39" s="13">
        <v>36</v>
      </c>
      <c r="B39" s="13" t="s">
        <v>57</v>
      </c>
      <c r="C39" s="13" t="s">
        <v>104</v>
      </c>
      <c r="D39" s="13" t="s">
        <v>250</v>
      </c>
      <c r="E39" s="13" t="s">
        <v>251</v>
      </c>
      <c r="F39" s="13" t="s">
        <v>102</v>
      </c>
      <c r="G39" s="13" t="s">
        <v>103</v>
      </c>
      <c r="H39" s="13" t="s">
        <v>210</v>
      </c>
      <c r="I39" s="13" t="s">
        <v>214</v>
      </c>
      <c r="J39" s="13" t="s">
        <v>252</v>
      </c>
      <c r="K39" s="13" t="s">
        <v>253</v>
      </c>
      <c r="L39" s="13">
        <v>-12.55037021637</v>
      </c>
      <c r="M39" s="13">
        <v>-74.419921875</v>
      </c>
      <c r="N39" s="39">
        <v>2886</v>
      </c>
      <c r="O39" s="13">
        <v>1</v>
      </c>
      <c r="P39" s="14">
        <v>40</v>
      </c>
      <c r="Q39" s="14">
        <v>18</v>
      </c>
      <c r="R39" s="14">
        <v>22</v>
      </c>
      <c r="S39" s="14">
        <v>2</v>
      </c>
      <c r="T39" s="14">
        <v>2</v>
      </c>
      <c r="U39" s="14">
        <f>Tabla15[[#This Row],[Nº SOCIO JOVEN(M)]]+Tabla15[[#This Row],[Nº SOCIO JOVEN(F)]]</f>
        <v>4</v>
      </c>
      <c r="V39" s="14">
        <v>40</v>
      </c>
      <c r="W39" s="14">
        <v>18</v>
      </c>
      <c r="X39" s="14">
        <v>22</v>
      </c>
      <c r="Y39" s="14">
        <v>2</v>
      </c>
      <c r="Z39" s="14">
        <v>2</v>
      </c>
      <c r="AA39" s="14">
        <f>Tabla15[[#This Row],[Nº FAMILIA JOVEN(M)]]+Tabla15[[#This Row],[Nº FAMILIA JOVEN(F)]]</f>
        <v>4</v>
      </c>
      <c r="AB39" s="52">
        <v>39440</v>
      </c>
      <c r="AC39" s="45">
        <v>20.5</v>
      </c>
      <c r="AD39" s="52">
        <v>9360</v>
      </c>
      <c r="AE39" s="52">
        <v>48996.17</v>
      </c>
      <c r="AF39" s="14" t="s">
        <v>61</v>
      </c>
      <c r="AG39" s="14">
        <v>79</v>
      </c>
      <c r="AH39" s="14">
        <v>0</v>
      </c>
      <c r="AI39" s="14">
        <v>0</v>
      </c>
      <c r="AJ39" s="14">
        <v>0</v>
      </c>
      <c r="AK39" s="16" t="e">
        <f t="shared" si="0"/>
        <v>#DIV/0!</v>
      </c>
      <c r="AL39" s="14">
        <v>0</v>
      </c>
      <c r="AM39" s="14">
        <v>0</v>
      </c>
      <c r="AN39" s="14">
        <v>0</v>
      </c>
      <c r="AO39" s="16" t="e">
        <f t="shared" si="1"/>
        <v>#DIV/0!</v>
      </c>
      <c r="AP39" s="14">
        <v>0</v>
      </c>
      <c r="AQ39" s="14">
        <v>0</v>
      </c>
      <c r="AR39" s="14">
        <v>0</v>
      </c>
      <c r="AS39" s="16" t="e">
        <f t="shared" si="2"/>
        <v>#DIV/0!</v>
      </c>
      <c r="AT39" s="14">
        <v>0</v>
      </c>
      <c r="AU39" s="14">
        <v>0</v>
      </c>
      <c r="AV39" s="14">
        <v>0</v>
      </c>
      <c r="AW39" s="16" t="e">
        <f t="shared" si="3"/>
        <v>#DIV/0!</v>
      </c>
      <c r="AX39" s="15">
        <v>62000</v>
      </c>
      <c r="AY39" s="15">
        <v>34460</v>
      </c>
      <c r="AZ39" s="15">
        <v>34460</v>
      </c>
      <c r="BA39" s="16">
        <f t="shared" si="4"/>
        <v>0.55580645161290321</v>
      </c>
      <c r="BB39" s="12"/>
    </row>
    <row r="40" spans="1:54" s="154" customFormat="1" ht="51" x14ac:dyDescent="0.25">
      <c r="A40" s="13">
        <v>37</v>
      </c>
      <c r="B40" s="13" t="s">
        <v>57</v>
      </c>
      <c r="C40" s="13" t="s">
        <v>105</v>
      </c>
      <c r="D40" s="13" t="s">
        <v>254</v>
      </c>
      <c r="E40" s="13" t="s">
        <v>255</v>
      </c>
      <c r="F40" s="13" t="s">
        <v>102</v>
      </c>
      <c r="G40" s="13" t="s">
        <v>199</v>
      </c>
      <c r="H40" s="13" t="s">
        <v>210</v>
      </c>
      <c r="I40" s="13" t="s">
        <v>214</v>
      </c>
      <c r="J40" s="13" t="s">
        <v>236</v>
      </c>
      <c r="K40" s="13" t="s">
        <v>236</v>
      </c>
      <c r="L40" s="13">
        <v>-12.578148841859999</v>
      </c>
      <c r="M40" s="13">
        <v>-74.411750793460001</v>
      </c>
      <c r="N40" s="39">
        <v>3562</v>
      </c>
      <c r="O40" s="13">
        <v>2</v>
      </c>
      <c r="P40" s="14">
        <v>42</v>
      </c>
      <c r="Q40" s="14">
        <v>19</v>
      </c>
      <c r="R40" s="14">
        <v>23</v>
      </c>
      <c r="S40" s="14">
        <v>2</v>
      </c>
      <c r="T40" s="14">
        <v>2</v>
      </c>
      <c r="U40" s="14">
        <f>Tabla15[[#This Row],[Nº SOCIO JOVEN(M)]]+Tabla15[[#This Row],[Nº SOCIO JOVEN(F)]]</f>
        <v>4</v>
      </c>
      <c r="V40" s="14">
        <v>42</v>
      </c>
      <c r="W40" s="14">
        <v>19</v>
      </c>
      <c r="X40" s="14">
        <v>23</v>
      </c>
      <c r="Y40" s="14">
        <v>2</v>
      </c>
      <c r="Z40" s="14">
        <v>2</v>
      </c>
      <c r="AA40" s="14">
        <f>Tabla15[[#This Row],[Nº FAMILIA JOVEN(M)]]+Tabla15[[#This Row],[Nº FAMILIA JOVEN(F)]]</f>
        <v>4</v>
      </c>
      <c r="AB40" s="52">
        <v>39440</v>
      </c>
      <c r="AC40" s="45">
        <v>0</v>
      </c>
      <c r="AD40" s="52">
        <v>9360</v>
      </c>
      <c r="AE40" s="52">
        <v>48978.55</v>
      </c>
      <c r="AF40" s="14" t="s">
        <v>63</v>
      </c>
      <c r="AG40" s="14">
        <v>65.2</v>
      </c>
      <c r="AH40" s="14">
        <v>0</v>
      </c>
      <c r="AI40" s="14">
        <v>0</v>
      </c>
      <c r="AJ40" s="14">
        <v>0</v>
      </c>
      <c r="AK40" s="16" t="e">
        <f t="shared" si="0"/>
        <v>#DIV/0!</v>
      </c>
      <c r="AL40" s="14">
        <v>0</v>
      </c>
      <c r="AM40" s="14">
        <v>0</v>
      </c>
      <c r="AN40" s="14">
        <v>0</v>
      </c>
      <c r="AO40" s="16" t="e">
        <f t="shared" si="1"/>
        <v>#DIV/0!</v>
      </c>
      <c r="AP40" s="14">
        <v>0</v>
      </c>
      <c r="AQ40" s="14">
        <v>0</v>
      </c>
      <c r="AR40" s="14">
        <v>0</v>
      </c>
      <c r="AS40" s="16" t="e">
        <f t="shared" si="2"/>
        <v>#DIV/0!</v>
      </c>
      <c r="AT40" s="14">
        <v>0</v>
      </c>
      <c r="AU40" s="14">
        <v>0</v>
      </c>
      <c r="AV40" s="14">
        <v>0</v>
      </c>
      <c r="AW40" s="16" t="e">
        <f t="shared" si="3"/>
        <v>#DIV/0!</v>
      </c>
      <c r="AX40" s="15">
        <v>59800</v>
      </c>
      <c r="AY40" s="15">
        <v>40110</v>
      </c>
      <c r="AZ40" s="15">
        <v>40110</v>
      </c>
      <c r="BA40" s="16">
        <f t="shared" si="4"/>
        <v>0.67073578595317729</v>
      </c>
      <c r="BB40" s="12"/>
    </row>
    <row r="41" spans="1:54" s="154" customFormat="1" ht="38.25" x14ac:dyDescent="0.25">
      <c r="A41" s="13">
        <v>38</v>
      </c>
      <c r="B41" s="13" t="s">
        <v>68</v>
      </c>
      <c r="C41" s="13" t="s">
        <v>205</v>
      </c>
      <c r="D41" s="13" t="s">
        <v>256</v>
      </c>
      <c r="E41" s="13" t="s">
        <v>257</v>
      </c>
      <c r="F41" s="13" t="s">
        <v>69</v>
      </c>
      <c r="G41" s="13" t="s">
        <v>70</v>
      </c>
      <c r="H41" s="13" t="s">
        <v>210</v>
      </c>
      <c r="I41" s="13" t="s">
        <v>219</v>
      </c>
      <c r="J41" s="13" t="s">
        <v>258</v>
      </c>
      <c r="K41" s="13" t="s">
        <v>259</v>
      </c>
      <c r="L41" s="13">
        <v>-12.49867725372</v>
      </c>
      <c r="M41" s="13">
        <v>-74.828247070309999</v>
      </c>
      <c r="N41" s="39">
        <v>2733</v>
      </c>
      <c r="O41" s="13">
        <v>2</v>
      </c>
      <c r="P41" s="14">
        <v>25</v>
      </c>
      <c r="Q41" s="14">
        <v>14</v>
      </c>
      <c r="R41" s="14">
        <v>11</v>
      </c>
      <c r="S41" s="14">
        <v>2</v>
      </c>
      <c r="T41" s="14">
        <v>4</v>
      </c>
      <c r="U41" s="14">
        <f>Tabla15[[#This Row],[Nº SOCIO JOVEN(M)]]+Tabla15[[#This Row],[Nº SOCIO JOVEN(F)]]</f>
        <v>6</v>
      </c>
      <c r="V41" s="14">
        <v>20</v>
      </c>
      <c r="W41" s="14">
        <v>12</v>
      </c>
      <c r="X41" s="14">
        <v>8</v>
      </c>
      <c r="Y41" s="14">
        <v>2</v>
      </c>
      <c r="Z41" s="14">
        <v>4</v>
      </c>
      <c r="AA41" s="14">
        <f>Tabla15[[#This Row],[Nº FAMILIA JOVEN(M)]]+Tabla15[[#This Row],[Nº FAMILIA JOVEN(F)]]</f>
        <v>6</v>
      </c>
      <c r="AB41" s="52">
        <v>61300</v>
      </c>
      <c r="AC41" s="52">
        <v>25700</v>
      </c>
      <c r="AD41" s="52">
        <v>0</v>
      </c>
      <c r="AE41" s="52">
        <v>87361.94</v>
      </c>
      <c r="AF41" s="14" t="s">
        <v>63</v>
      </c>
      <c r="AG41" s="14">
        <v>58.5</v>
      </c>
      <c r="AH41" s="15">
        <v>3800</v>
      </c>
      <c r="AI41" s="15">
        <v>6200</v>
      </c>
      <c r="AJ41" s="15">
        <v>2400</v>
      </c>
      <c r="AK41" s="16">
        <f t="shared" si="0"/>
        <v>0.63157894736842102</v>
      </c>
      <c r="AL41" s="15">
        <v>9500</v>
      </c>
      <c r="AM41" s="15">
        <v>18600</v>
      </c>
      <c r="AN41" s="15">
        <v>9100</v>
      </c>
      <c r="AO41" s="16">
        <f t="shared" si="1"/>
        <v>0.95789473684210524</v>
      </c>
      <c r="AP41" s="15">
        <v>3780</v>
      </c>
      <c r="AQ41" s="15">
        <v>6184</v>
      </c>
      <c r="AR41" s="15">
        <v>2404</v>
      </c>
      <c r="AS41" s="16">
        <f t="shared" si="2"/>
        <v>0.63597883597883598</v>
      </c>
      <c r="AT41" s="15">
        <v>9450</v>
      </c>
      <c r="AU41" s="15">
        <v>18552</v>
      </c>
      <c r="AV41" s="15">
        <v>9102</v>
      </c>
      <c r="AW41" s="16">
        <f t="shared" si="3"/>
        <v>0.96317460317460313</v>
      </c>
      <c r="AX41" s="15">
        <v>83820</v>
      </c>
      <c r="AY41" s="15">
        <v>57449</v>
      </c>
      <c r="AZ41" s="15">
        <v>57449</v>
      </c>
      <c r="BA41" s="16">
        <f t="shared" si="4"/>
        <v>0.68538534955857788</v>
      </c>
      <c r="BB41" s="12"/>
    </row>
    <row r="42" spans="1:54" s="154" customFormat="1" ht="76.5" x14ac:dyDescent="0.25">
      <c r="A42" s="13">
        <v>39</v>
      </c>
      <c r="B42" s="13" t="s">
        <v>57</v>
      </c>
      <c r="C42" s="13" t="s">
        <v>206</v>
      </c>
      <c r="D42" s="13" t="s">
        <v>260</v>
      </c>
      <c r="E42" s="13" t="s">
        <v>261</v>
      </c>
      <c r="F42" s="13" t="s">
        <v>102</v>
      </c>
      <c r="G42" s="13" t="s">
        <v>103</v>
      </c>
      <c r="H42" s="13" t="s">
        <v>210</v>
      </c>
      <c r="I42" s="13" t="s">
        <v>214</v>
      </c>
      <c r="J42" s="13" t="s">
        <v>236</v>
      </c>
      <c r="K42" s="13" t="s">
        <v>262</v>
      </c>
      <c r="L42" s="13">
        <v>-12.63207435608</v>
      </c>
      <c r="M42" s="13">
        <v>-74.37799835205</v>
      </c>
      <c r="N42" s="39">
        <v>3423</v>
      </c>
      <c r="O42" s="13">
        <v>2</v>
      </c>
      <c r="P42" s="14">
        <v>42</v>
      </c>
      <c r="Q42" s="14">
        <v>21</v>
      </c>
      <c r="R42" s="14">
        <v>21</v>
      </c>
      <c r="S42" s="14">
        <v>0</v>
      </c>
      <c r="T42" s="14">
        <v>2</v>
      </c>
      <c r="U42" s="14">
        <f>Tabla15[[#This Row],[Nº SOCIO JOVEN(M)]]+Tabla15[[#This Row],[Nº SOCIO JOVEN(F)]]</f>
        <v>2</v>
      </c>
      <c r="V42" s="14">
        <v>41</v>
      </c>
      <c r="W42" s="14">
        <v>20</v>
      </c>
      <c r="X42" s="14">
        <v>21</v>
      </c>
      <c r="Y42" s="14">
        <v>0</v>
      </c>
      <c r="Z42" s="14">
        <v>2</v>
      </c>
      <c r="AA42" s="14">
        <f>Tabla15[[#This Row],[Nº FAMILIA JOVEN(M)]]+Tabla15[[#This Row],[Nº FAMILIA JOVEN(F)]]</f>
        <v>2</v>
      </c>
      <c r="AB42" s="52">
        <v>39440</v>
      </c>
      <c r="AC42" s="45">
        <v>0</v>
      </c>
      <c r="AD42" s="52">
        <v>9360</v>
      </c>
      <c r="AE42" s="52">
        <v>48971.27</v>
      </c>
      <c r="AF42" s="14" t="s">
        <v>61</v>
      </c>
      <c r="AG42" s="14">
        <v>75</v>
      </c>
      <c r="AH42" s="14">
        <v>0</v>
      </c>
      <c r="AI42" s="14">
        <v>0</v>
      </c>
      <c r="AJ42" s="14">
        <v>0</v>
      </c>
      <c r="AK42" s="16" t="e">
        <f t="shared" si="0"/>
        <v>#DIV/0!</v>
      </c>
      <c r="AL42" s="14">
        <v>0</v>
      </c>
      <c r="AM42" s="14">
        <v>0</v>
      </c>
      <c r="AN42" s="14">
        <v>0</v>
      </c>
      <c r="AO42" s="16" t="e">
        <f t="shared" si="1"/>
        <v>#DIV/0!</v>
      </c>
      <c r="AP42" s="14">
        <v>0</v>
      </c>
      <c r="AQ42" s="14">
        <v>0</v>
      </c>
      <c r="AR42" s="14">
        <v>0</v>
      </c>
      <c r="AS42" s="16" t="e">
        <f t="shared" si="2"/>
        <v>#DIV/0!</v>
      </c>
      <c r="AT42" s="14">
        <v>0</v>
      </c>
      <c r="AU42" s="14">
        <v>0</v>
      </c>
      <c r="AV42" s="14">
        <v>0</v>
      </c>
      <c r="AW42" s="16" t="e">
        <f t="shared" si="3"/>
        <v>#DIV/0!</v>
      </c>
      <c r="AX42" s="15">
        <v>61000</v>
      </c>
      <c r="AY42" s="15">
        <v>34460</v>
      </c>
      <c r="AZ42" s="15">
        <v>34460</v>
      </c>
      <c r="BA42" s="16">
        <f t="shared" si="4"/>
        <v>0.56491803278688524</v>
      </c>
      <c r="BB42" s="12"/>
    </row>
    <row r="43" spans="1:54" s="154" customFormat="1" ht="76.5" x14ac:dyDescent="0.25">
      <c r="A43" s="13">
        <v>40</v>
      </c>
      <c r="B43" s="13" t="s">
        <v>57</v>
      </c>
      <c r="C43" s="13" t="s">
        <v>122</v>
      </c>
      <c r="D43" s="13" t="s">
        <v>263</v>
      </c>
      <c r="E43" s="13" t="s">
        <v>264</v>
      </c>
      <c r="F43" s="13" t="s">
        <v>64</v>
      </c>
      <c r="G43" s="13" t="s">
        <v>172</v>
      </c>
      <c r="H43" s="13" t="s">
        <v>210</v>
      </c>
      <c r="I43" s="13" t="s">
        <v>219</v>
      </c>
      <c r="J43" s="13" t="s">
        <v>223</v>
      </c>
      <c r="K43" s="13" t="s">
        <v>223</v>
      </c>
      <c r="L43" s="13">
        <v>-12.259016036989999</v>
      </c>
      <c r="M43" s="13">
        <v>-75.070495605470001</v>
      </c>
      <c r="N43" s="39">
        <v>3800</v>
      </c>
      <c r="O43" s="13">
        <v>1</v>
      </c>
      <c r="P43" s="14">
        <v>44</v>
      </c>
      <c r="Q43" s="14">
        <v>32</v>
      </c>
      <c r="R43" s="14">
        <v>12</v>
      </c>
      <c r="S43" s="14">
        <v>2</v>
      </c>
      <c r="T43" s="14">
        <v>0</v>
      </c>
      <c r="U43" s="14">
        <f>Tabla15[[#This Row],[Nº SOCIO JOVEN(M)]]+Tabla15[[#This Row],[Nº SOCIO JOVEN(F)]]</f>
        <v>2</v>
      </c>
      <c r="V43" s="14">
        <v>44</v>
      </c>
      <c r="W43" s="14">
        <v>32</v>
      </c>
      <c r="X43" s="14">
        <v>12</v>
      </c>
      <c r="Y43" s="14">
        <v>2</v>
      </c>
      <c r="Z43" s="14">
        <v>0</v>
      </c>
      <c r="AA43" s="14">
        <f>Tabla15[[#This Row],[Nº FAMILIA JOVEN(M)]]+Tabla15[[#This Row],[Nº FAMILIA JOVEN(F)]]</f>
        <v>2</v>
      </c>
      <c r="AB43" s="52">
        <v>39440</v>
      </c>
      <c r="AC43" s="45">
        <v>1</v>
      </c>
      <c r="AD43" s="52">
        <v>9360</v>
      </c>
      <c r="AE43" s="52">
        <v>48990.13</v>
      </c>
      <c r="AF43" s="14" t="s">
        <v>88</v>
      </c>
      <c r="AG43" s="14">
        <v>82.8</v>
      </c>
      <c r="AH43" s="14">
        <v>0</v>
      </c>
      <c r="AI43" s="14">
        <v>0</v>
      </c>
      <c r="AJ43" s="14">
        <v>0</v>
      </c>
      <c r="AK43" s="16" t="e">
        <f t="shared" si="0"/>
        <v>#DIV/0!</v>
      </c>
      <c r="AL43" s="14">
        <v>0</v>
      </c>
      <c r="AM43" s="14">
        <v>0</v>
      </c>
      <c r="AN43" s="14">
        <v>0</v>
      </c>
      <c r="AO43" s="16" t="e">
        <f t="shared" si="1"/>
        <v>#DIV/0!</v>
      </c>
      <c r="AP43" s="14">
        <v>0</v>
      </c>
      <c r="AQ43" s="14">
        <v>0</v>
      </c>
      <c r="AR43" s="14">
        <v>0</v>
      </c>
      <c r="AS43" s="16" t="e">
        <f t="shared" si="2"/>
        <v>#DIV/0!</v>
      </c>
      <c r="AT43" s="14">
        <v>0</v>
      </c>
      <c r="AU43" s="14">
        <v>0</v>
      </c>
      <c r="AV43" s="14">
        <v>0</v>
      </c>
      <c r="AW43" s="16" t="e">
        <f t="shared" si="3"/>
        <v>#DIV/0!</v>
      </c>
      <c r="AX43" s="15">
        <v>102500</v>
      </c>
      <c r="AY43" s="15">
        <v>68000</v>
      </c>
      <c r="AZ43" s="15">
        <v>68000</v>
      </c>
      <c r="BA43" s="16">
        <f t="shared" si="4"/>
        <v>0.6634146341463415</v>
      </c>
      <c r="BB43" s="12"/>
    </row>
    <row r="44" spans="1:54" s="154" customFormat="1" ht="38.25" x14ac:dyDescent="0.25">
      <c r="A44" s="13">
        <v>41</v>
      </c>
      <c r="B44" s="13" t="s">
        <v>68</v>
      </c>
      <c r="C44" s="13" t="s">
        <v>207</v>
      </c>
      <c r="D44" s="13" t="s">
        <v>265</v>
      </c>
      <c r="E44" s="13" t="s">
        <v>266</v>
      </c>
      <c r="F44" s="13" t="s">
        <v>69</v>
      </c>
      <c r="G44" s="13" t="s">
        <v>86</v>
      </c>
      <c r="H44" s="13" t="s">
        <v>210</v>
      </c>
      <c r="I44" s="13" t="s">
        <v>219</v>
      </c>
      <c r="J44" s="13" t="s">
        <v>267</v>
      </c>
      <c r="K44" s="13" t="s">
        <v>267</v>
      </c>
      <c r="L44" s="13">
        <v>-12.36531734467</v>
      </c>
      <c r="M44" s="13">
        <v>-75.054794311519998</v>
      </c>
      <c r="N44" s="39">
        <v>3604</v>
      </c>
      <c r="O44" s="13">
        <v>1</v>
      </c>
      <c r="P44" s="14">
        <v>38</v>
      </c>
      <c r="Q44" s="14">
        <v>27</v>
      </c>
      <c r="R44" s="14">
        <v>11</v>
      </c>
      <c r="S44" s="14">
        <v>4</v>
      </c>
      <c r="T44" s="14">
        <v>2</v>
      </c>
      <c r="U44" s="14">
        <f>Tabla15[[#This Row],[Nº SOCIO JOVEN(M)]]+Tabla15[[#This Row],[Nº SOCIO JOVEN(F)]]</f>
        <v>6</v>
      </c>
      <c r="V44" s="14">
        <v>32</v>
      </c>
      <c r="W44" s="14">
        <v>27</v>
      </c>
      <c r="X44" s="14">
        <v>5</v>
      </c>
      <c r="Y44" s="14">
        <v>4</v>
      </c>
      <c r="Z44" s="14">
        <v>2</v>
      </c>
      <c r="AA44" s="14">
        <f>Tabla15[[#This Row],[Nº FAMILIA JOVEN(M)]]+Tabla15[[#This Row],[Nº FAMILIA JOVEN(F)]]</f>
        <v>6</v>
      </c>
      <c r="AB44" s="52">
        <v>76100</v>
      </c>
      <c r="AC44" s="52">
        <v>35960</v>
      </c>
      <c r="AD44" s="45">
        <v>0</v>
      </c>
      <c r="AE44" s="52">
        <v>112482.25</v>
      </c>
      <c r="AF44" s="14" t="s">
        <v>61</v>
      </c>
      <c r="AG44" s="14">
        <v>77.5</v>
      </c>
      <c r="AH44" s="15">
        <v>72000</v>
      </c>
      <c r="AI44" s="15">
        <v>108000</v>
      </c>
      <c r="AJ44" s="15">
        <v>36000</v>
      </c>
      <c r="AK44" s="16">
        <f t="shared" si="0"/>
        <v>0.5</v>
      </c>
      <c r="AL44" s="15">
        <v>54000</v>
      </c>
      <c r="AM44" s="15">
        <v>118800</v>
      </c>
      <c r="AN44" s="15">
        <v>64800</v>
      </c>
      <c r="AO44" s="16">
        <f t="shared" si="1"/>
        <v>1.2</v>
      </c>
      <c r="AP44" s="15">
        <v>71000</v>
      </c>
      <c r="AQ44" s="15">
        <v>106000</v>
      </c>
      <c r="AR44" s="15">
        <v>35000</v>
      </c>
      <c r="AS44" s="16">
        <f t="shared" si="2"/>
        <v>0.49295774647887325</v>
      </c>
      <c r="AT44" s="15">
        <v>53250</v>
      </c>
      <c r="AU44" s="15">
        <v>116600</v>
      </c>
      <c r="AV44" s="15">
        <v>63350</v>
      </c>
      <c r="AW44" s="16">
        <f t="shared" si="3"/>
        <v>1.1896713615023473</v>
      </c>
      <c r="AX44" s="15">
        <v>107530</v>
      </c>
      <c r="AY44" s="15">
        <v>57630</v>
      </c>
      <c r="AZ44" s="15">
        <v>57630</v>
      </c>
      <c r="BA44" s="16">
        <f t="shared" si="4"/>
        <v>0.53594345763972839</v>
      </c>
      <c r="BB44" s="12"/>
    </row>
    <row r="45" spans="1:54" s="154" customFormat="1" ht="38.25" x14ac:dyDescent="0.25">
      <c r="A45" s="13">
        <v>42</v>
      </c>
      <c r="B45" s="13" t="s">
        <v>68</v>
      </c>
      <c r="C45" s="13" t="s">
        <v>208</v>
      </c>
      <c r="D45" s="13" t="s">
        <v>268</v>
      </c>
      <c r="E45" s="13" t="s">
        <v>269</v>
      </c>
      <c r="F45" s="13" t="s">
        <v>71</v>
      </c>
      <c r="G45" s="13" t="s">
        <v>72</v>
      </c>
      <c r="H45" s="13" t="s">
        <v>210</v>
      </c>
      <c r="I45" s="13" t="s">
        <v>219</v>
      </c>
      <c r="J45" s="13" t="s">
        <v>270</v>
      </c>
      <c r="K45" s="13" t="s">
        <v>270</v>
      </c>
      <c r="L45" s="13">
        <v>-12.407444953920001</v>
      </c>
      <c r="M45" s="13">
        <v>-74.891426086430002</v>
      </c>
      <c r="N45" s="39">
        <v>3262</v>
      </c>
      <c r="O45" s="13">
        <v>1</v>
      </c>
      <c r="P45" s="14">
        <v>15</v>
      </c>
      <c r="Q45" s="14">
        <v>8</v>
      </c>
      <c r="R45" s="14">
        <v>7</v>
      </c>
      <c r="S45" s="14">
        <v>2</v>
      </c>
      <c r="T45" s="14">
        <v>2</v>
      </c>
      <c r="U45" s="14">
        <f>Tabla15[[#This Row],[Nº SOCIO JOVEN(M)]]+Tabla15[[#This Row],[Nº SOCIO JOVEN(F)]]</f>
        <v>4</v>
      </c>
      <c r="V45" s="14">
        <v>15</v>
      </c>
      <c r="W45" s="14">
        <v>8</v>
      </c>
      <c r="X45" s="14">
        <v>7</v>
      </c>
      <c r="Y45" s="14">
        <v>2</v>
      </c>
      <c r="Z45" s="14">
        <v>2</v>
      </c>
      <c r="AA45" s="14">
        <f>Tabla15[[#This Row],[Nº FAMILIA JOVEN(M)]]+Tabla15[[#This Row],[Nº FAMILIA JOVEN(F)]]</f>
        <v>4</v>
      </c>
      <c r="AB45" s="52">
        <v>42300</v>
      </c>
      <c r="AC45" s="52">
        <v>17700</v>
      </c>
      <c r="AD45" s="45">
        <v>0</v>
      </c>
      <c r="AE45" s="52">
        <v>60222.09</v>
      </c>
      <c r="AF45" s="14" t="s">
        <v>61</v>
      </c>
      <c r="AG45" s="14">
        <v>74</v>
      </c>
      <c r="AH45" s="14">
        <v>450</v>
      </c>
      <c r="AI45" s="14">
        <v>660</v>
      </c>
      <c r="AJ45" s="14">
        <v>210</v>
      </c>
      <c r="AK45" s="16">
        <f t="shared" si="0"/>
        <v>0.46666666666666667</v>
      </c>
      <c r="AL45" s="15">
        <v>8100</v>
      </c>
      <c r="AM45" s="15">
        <v>13200</v>
      </c>
      <c r="AN45" s="15">
        <v>5100</v>
      </c>
      <c r="AO45" s="16">
        <f t="shared" si="1"/>
        <v>0.62962962962962965</v>
      </c>
      <c r="AP45" s="14">
        <v>250</v>
      </c>
      <c r="AQ45" s="14">
        <v>550</v>
      </c>
      <c r="AR45" s="14">
        <v>300</v>
      </c>
      <c r="AS45" s="16">
        <f t="shared" si="2"/>
        <v>1.2</v>
      </c>
      <c r="AT45" s="15">
        <v>4500</v>
      </c>
      <c r="AU45" s="15">
        <v>11000</v>
      </c>
      <c r="AV45" s="15">
        <v>6500</v>
      </c>
      <c r="AW45" s="16">
        <f t="shared" si="3"/>
        <v>1.4444444444444444</v>
      </c>
      <c r="AX45" s="15">
        <v>53099</v>
      </c>
      <c r="AY45" s="15">
        <v>45631</v>
      </c>
      <c r="AZ45" s="15">
        <v>45631</v>
      </c>
      <c r="BA45" s="16">
        <f t="shared" si="4"/>
        <v>0.85935705003860718</v>
      </c>
      <c r="BB45" s="12"/>
    </row>
    <row r="46" spans="1:54" s="154" customFormat="1" ht="38.25" x14ac:dyDescent="0.25">
      <c r="A46" s="13">
        <v>43</v>
      </c>
      <c r="B46" s="13" t="s">
        <v>68</v>
      </c>
      <c r="C46" s="13" t="s">
        <v>139</v>
      </c>
      <c r="D46" s="13" t="s">
        <v>271</v>
      </c>
      <c r="E46" s="13" t="s">
        <v>272</v>
      </c>
      <c r="F46" s="13" t="s">
        <v>69</v>
      </c>
      <c r="G46" s="13" t="s">
        <v>86</v>
      </c>
      <c r="H46" s="13" t="s">
        <v>210</v>
      </c>
      <c r="I46" s="13" t="s">
        <v>219</v>
      </c>
      <c r="J46" s="13" t="s">
        <v>258</v>
      </c>
      <c r="K46" s="13" t="s">
        <v>273</v>
      </c>
      <c r="L46" s="13">
        <v>-12.353337287900001</v>
      </c>
      <c r="M46" s="13">
        <v>-74.867462158199999</v>
      </c>
      <c r="N46" s="39">
        <v>3706</v>
      </c>
      <c r="O46" s="13">
        <v>2</v>
      </c>
      <c r="P46" s="14">
        <v>12</v>
      </c>
      <c r="Q46" s="14">
        <v>5</v>
      </c>
      <c r="R46" s="14">
        <v>7</v>
      </c>
      <c r="S46" s="14">
        <v>1</v>
      </c>
      <c r="T46" s="14">
        <v>3</v>
      </c>
      <c r="U46" s="14">
        <f>Tabla15[[#This Row],[Nº SOCIO JOVEN(M)]]+Tabla15[[#This Row],[Nº SOCIO JOVEN(F)]]</f>
        <v>4</v>
      </c>
      <c r="V46" s="14">
        <v>12</v>
      </c>
      <c r="W46" s="14">
        <v>5</v>
      </c>
      <c r="X46" s="14">
        <v>7</v>
      </c>
      <c r="Y46" s="14">
        <v>1</v>
      </c>
      <c r="Z46" s="14">
        <v>3</v>
      </c>
      <c r="AA46" s="14">
        <f>Tabla15[[#This Row],[Nº FAMILIA JOVEN(M)]]+Tabla15[[#This Row],[Nº FAMILIA JOVEN(F)]]</f>
        <v>4</v>
      </c>
      <c r="AB46" s="52">
        <v>40200</v>
      </c>
      <c r="AC46" s="52">
        <v>17717</v>
      </c>
      <c r="AD46" s="52">
        <v>0</v>
      </c>
      <c r="AE46" s="52">
        <v>57972.2</v>
      </c>
      <c r="AF46" s="14" t="s">
        <v>61</v>
      </c>
      <c r="AG46" s="14">
        <v>74.5</v>
      </c>
      <c r="AH46" s="15">
        <v>16000</v>
      </c>
      <c r="AI46" s="15">
        <v>18000</v>
      </c>
      <c r="AJ46" s="15">
        <v>2000</v>
      </c>
      <c r="AK46" s="16">
        <f t="shared" si="0"/>
        <v>0.125</v>
      </c>
      <c r="AL46" s="15">
        <v>19200</v>
      </c>
      <c r="AM46" s="15">
        <v>27000</v>
      </c>
      <c r="AN46" s="15">
        <v>7800</v>
      </c>
      <c r="AO46" s="16">
        <f t="shared" si="1"/>
        <v>0.40625</v>
      </c>
      <c r="AP46" s="15">
        <v>11410</v>
      </c>
      <c r="AQ46" s="15">
        <v>13040</v>
      </c>
      <c r="AR46" s="15">
        <v>1630</v>
      </c>
      <c r="AS46" s="16">
        <f t="shared" si="2"/>
        <v>0.14285714285714285</v>
      </c>
      <c r="AT46" s="15">
        <v>13692</v>
      </c>
      <c r="AU46" s="15">
        <v>19560</v>
      </c>
      <c r="AV46" s="15">
        <v>5868</v>
      </c>
      <c r="AW46" s="16">
        <f t="shared" si="3"/>
        <v>0.42857142857142855</v>
      </c>
      <c r="AX46" s="15">
        <v>123994</v>
      </c>
      <c r="AY46" s="15">
        <v>109421</v>
      </c>
      <c r="AZ46" s="15">
        <v>109421</v>
      </c>
      <c r="BA46" s="16">
        <f t="shared" si="4"/>
        <v>0.88247011952191234</v>
      </c>
      <c r="BB46" s="12"/>
    </row>
    <row r="47" spans="1:54" s="154" customFormat="1" ht="38.25" x14ac:dyDescent="0.25">
      <c r="A47" s="13">
        <v>44</v>
      </c>
      <c r="B47" s="13" t="s">
        <v>68</v>
      </c>
      <c r="C47" s="13" t="s">
        <v>209</v>
      </c>
      <c r="D47" s="13" t="s">
        <v>274</v>
      </c>
      <c r="E47" s="13" t="s">
        <v>275</v>
      </c>
      <c r="F47" s="13" t="s">
        <v>76</v>
      </c>
      <c r="G47" s="13" t="s">
        <v>121</v>
      </c>
      <c r="H47" s="13" t="s">
        <v>210</v>
      </c>
      <c r="I47" s="13" t="s">
        <v>219</v>
      </c>
      <c r="J47" s="13" t="s">
        <v>106</v>
      </c>
      <c r="K47" s="13" t="s">
        <v>276</v>
      </c>
      <c r="L47" s="13">
        <v>-12.26135063171</v>
      </c>
      <c r="M47" s="13">
        <v>-75.004653930659998</v>
      </c>
      <c r="N47" s="39">
        <v>3369</v>
      </c>
      <c r="O47" s="13">
        <v>1</v>
      </c>
      <c r="P47" s="14">
        <v>12</v>
      </c>
      <c r="Q47" s="14">
        <v>6</v>
      </c>
      <c r="R47" s="14">
        <v>6</v>
      </c>
      <c r="S47" s="14">
        <v>1</v>
      </c>
      <c r="T47" s="14">
        <v>2</v>
      </c>
      <c r="U47" s="14">
        <f>Tabla15[[#This Row],[Nº SOCIO JOVEN(M)]]+Tabla15[[#This Row],[Nº SOCIO JOVEN(F)]]</f>
        <v>3</v>
      </c>
      <c r="V47" s="14">
        <v>4</v>
      </c>
      <c r="W47" s="14">
        <v>4</v>
      </c>
      <c r="X47" s="14">
        <v>0</v>
      </c>
      <c r="Y47" s="14">
        <v>1</v>
      </c>
      <c r="Z47" s="14">
        <v>0</v>
      </c>
      <c r="AA47" s="14">
        <f>Tabla15[[#This Row],[Nº FAMILIA JOVEN(M)]]+Tabla15[[#This Row],[Nº FAMILIA JOVEN(F)]]</f>
        <v>1</v>
      </c>
      <c r="AB47" s="52">
        <v>33200</v>
      </c>
      <c r="AC47" s="52">
        <v>13800</v>
      </c>
      <c r="AD47" s="45">
        <v>0</v>
      </c>
      <c r="AE47" s="52">
        <v>47188.9</v>
      </c>
      <c r="AF47" s="14" t="s">
        <v>63</v>
      </c>
      <c r="AG47" s="14">
        <v>59</v>
      </c>
      <c r="AH47" s="14">
        <v>650</v>
      </c>
      <c r="AI47" s="15">
        <v>1200</v>
      </c>
      <c r="AJ47" s="14">
        <v>550</v>
      </c>
      <c r="AK47" s="16">
        <f t="shared" si="0"/>
        <v>0.84615384615384615</v>
      </c>
      <c r="AL47" s="15">
        <v>2925</v>
      </c>
      <c r="AM47" s="15">
        <v>6000</v>
      </c>
      <c r="AN47" s="15">
        <v>3075</v>
      </c>
      <c r="AO47" s="16">
        <f t="shared" si="1"/>
        <v>1.0512820512820513</v>
      </c>
      <c r="AP47" s="14">
        <v>600</v>
      </c>
      <c r="AQ47" s="15">
        <v>1000</v>
      </c>
      <c r="AR47" s="14">
        <v>400</v>
      </c>
      <c r="AS47" s="16">
        <f t="shared" si="2"/>
        <v>0.66666666666666663</v>
      </c>
      <c r="AT47" s="15">
        <v>2700</v>
      </c>
      <c r="AU47" s="15">
        <v>5000</v>
      </c>
      <c r="AV47" s="15">
        <v>2300</v>
      </c>
      <c r="AW47" s="16">
        <f t="shared" si="3"/>
        <v>0.85185185185185186</v>
      </c>
      <c r="AX47" s="15">
        <v>66000</v>
      </c>
      <c r="AY47" s="15">
        <v>31100</v>
      </c>
      <c r="AZ47" s="15">
        <v>31100</v>
      </c>
      <c r="BA47" s="16">
        <f t="shared" si="4"/>
        <v>0.47121212121212119</v>
      </c>
      <c r="BB47" s="12"/>
    </row>
    <row r="48" spans="1:54" s="154" customFormat="1" ht="51" x14ac:dyDescent="0.25">
      <c r="A48" s="13">
        <v>45</v>
      </c>
      <c r="B48" s="13" t="s">
        <v>68</v>
      </c>
      <c r="C48" s="13" t="s">
        <v>277</v>
      </c>
      <c r="D48" s="13" t="s">
        <v>278</v>
      </c>
      <c r="E48" s="13" t="s">
        <v>279</v>
      </c>
      <c r="F48" s="13" t="s">
        <v>76</v>
      </c>
      <c r="G48" s="13" t="s">
        <v>121</v>
      </c>
      <c r="H48" s="13" t="s">
        <v>210</v>
      </c>
      <c r="I48" s="13" t="s">
        <v>214</v>
      </c>
      <c r="J48" s="13" t="s">
        <v>215</v>
      </c>
      <c r="K48" s="13" t="s">
        <v>216</v>
      </c>
      <c r="L48" s="13">
        <v>-12.489610672</v>
      </c>
      <c r="M48" s="13">
        <v>-74.62223815918</v>
      </c>
      <c r="N48" s="39">
        <v>3926</v>
      </c>
      <c r="O48" s="13">
        <v>1</v>
      </c>
      <c r="P48" s="14">
        <v>15</v>
      </c>
      <c r="Q48" s="14">
        <v>6</v>
      </c>
      <c r="R48" s="14">
        <v>9</v>
      </c>
      <c r="S48" s="14">
        <v>2</v>
      </c>
      <c r="T48" s="14">
        <v>5</v>
      </c>
      <c r="U48" s="14">
        <f>Tabla15[[#This Row],[Nº SOCIO JOVEN(M)]]+Tabla15[[#This Row],[Nº SOCIO JOVEN(F)]]</f>
        <v>7</v>
      </c>
      <c r="V48" s="14">
        <v>15</v>
      </c>
      <c r="W48" s="14">
        <v>6</v>
      </c>
      <c r="X48" s="14">
        <v>9</v>
      </c>
      <c r="Y48" s="14">
        <v>2</v>
      </c>
      <c r="Z48" s="14">
        <v>5</v>
      </c>
      <c r="AA48" s="14">
        <f>Tabla15[[#This Row],[Nº FAMILIA JOVEN(M)]]+Tabla15[[#This Row],[Nº FAMILIA JOVEN(F)]]</f>
        <v>7</v>
      </c>
      <c r="AB48" s="52">
        <v>62800</v>
      </c>
      <c r="AC48" s="52">
        <v>26200</v>
      </c>
      <c r="AD48" s="45">
        <v>0</v>
      </c>
      <c r="AE48" s="52">
        <v>89293.25</v>
      </c>
      <c r="AF48" s="14" t="s">
        <v>63</v>
      </c>
      <c r="AG48" s="14">
        <v>68.5</v>
      </c>
      <c r="AH48" s="14">
        <v>300</v>
      </c>
      <c r="AI48" s="15">
        <v>1500</v>
      </c>
      <c r="AJ48" s="15">
        <v>1200</v>
      </c>
      <c r="AK48" s="16">
        <f t="shared" si="0"/>
        <v>4</v>
      </c>
      <c r="AL48" s="15">
        <v>3600</v>
      </c>
      <c r="AM48" s="15">
        <v>19500</v>
      </c>
      <c r="AN48" s="15">
        <v>15900</v>
      </c>
      <c r="AO48" s="16">
        <f t="shared" si="1"/>
        <v>4.416666666666667</v>
      </c>
      <c r="AP48" s="14">
        <v>220</v>
      </c>
      <c r="AQ48" s="15">
        <v>1440</v>
      </c>
      <c r="AR48" s="15">
        <v>1220</v>
      </c>
      <c r="AS48" s="16">
        <f t="shared" si="2"/>
        <v>5.5454545454545459</v>
      </c>
      <c r="AT48" s="15">
        <v>2640</v>
      </c>
      <c r="AU48" s="15">
        <v>18720</v>
      </c>
      <c r="AV48" s="15">
        <v>16080</v>
      </c>
      <c r="AW48" s="16">
        <f t="shared" si="3"/>
        <v>6.0909090909090908</v>
      </c>
      <c r="AX48" s="15">
        <v>103000</v>
      </c>
      <c r="AY48" s="15">
        <v>60100</v>
      </c>
      <c r="AZ48" s="15">
        <v>60100</v>
      </c>
      <c r="BA48" s="16">
        <f t="shared" si="4"/>
        <v>0.58349514563106797</v>
      </c>
      <c r="BB48" s="12"/>
    </row>
    <row r="49" spans="1:54" s="154" customFormat="1" ht="89.25" x14ac:dyDescent="0.25">
      <c r="A49" s="13">
        <v>46</v>
      </c>
      <c r="B49" s="13" t="s">
        <v>68</v>
      </c>
      <c r="C49" s="13" t="s">
        <v>163</v>
      </c>
      <c r="D49" s="13" t="s">
        <v>280</v>
      </c>
      <c r="E49" s="13" t="s">
        <v>281</v>
      </c>
      <c r="F49" s="13" t="s">
        <v>73</v>
      </c>
      <c r="G49" s="13" t="s">
        <v>142</v>
      </c>
      <c r="H49" s="13" t="s">
        <v>210</v>
      </c>
      <c r="I49" s="13" t="s">
        <v>219</v>
      </c>
      <c r="J49" s="13" t="s">
        <v>223</v>
      </c>
      <c r="K49" s="13" t="s">
        <v>223</v>
      </c>
      <c r="L49" s="13">
        <v>-12.259016036989999</v>
      </c>
      <c r="M49" s="13">
        <v>-75.070495605470001</v>
      </c>
      <c r="N49" s="39">
        <v>3800</v>
      </c>
      <c r="O49" s="13">
        <v>1</v>
      </c>
      <c r="P49" s="14">
        <v>34</v>
      </c>
      <c r="Q49" s="14">
        <v>22</v>
      </c>
      <c r="R49" s="14">
        <v>12</v>
      </c>
      <c r="S49" s="14">
        <v>2</v>
      </c>
      <c r="T49" s="14">
        <v>4</v>
      </c>
      <c r="U49" s="14">
        <f>Tabla15[[#This Row],[Nº SOCIO JOVEN(M)]]+Tabla15[[#This Row],[Nº SOCIO JOVEN(F)]]</f>
        <v>6</v>
      </c>
      <c r="V49" s="14">
        <v>34</v>
      </c>
      <c r="W49" s="14">
        <v>22</v>
      </c>
      <c r="X49" s="14">
        <v>12</v>
      </c>
      <c r="Y49" s="14">
        <v>2</v>
      </c>
      <c r="Z49" s="14">
        <v>4</v>
      </c>
      <c r="AA49" s="14">
        <f>Tabla15[[#This Row],[Nº FAMILIA JOVEN(M)]]+Tabla15[[#This Row],[Nº FAMILIA JOVEN(F)]]</f>
        <v>6</v>
      </c>
      <c r="AB49" s="52">
        <v>44500</v>
      </c>
      <c r="AC49" s="52">
        <v>19255.900000000001</v>
      </c>
      <c r="AD49" s="45">
        <v>0</v>
      </c>
      <c r="AE49" s="52">
        <v>63976.76</v>
      </c>
      <c r="AF49" s="14" t="s">
        <v>61</v>
      </c>
      <c r="AG49" s="14">
        <v>70.5</v>
      </c>
      <c r="AH49" s="15">
        <v>16000</v>
      </c>
      <c r="AI49" s="15">
        <v>18300</v>
      </c>
      <c r="AJ49" s="15">
        <v>2300</v>
      </c>
      <c r="AK49" s="16">
        <f t="shared" si="0"/>
        <v>0.14374999999999999</v>
      </c>
      <c r="AL49" s="15">
        <v>19200</v>
      </c>
      <c r="AM49" s="15">
        <v>25620</v>
      </c>
      <c r="AN49" s="15">
        <v>6420</v>
      </c>
      <c r="AO49" s="16">
        <f t="shared" si="1"/>
        <v>0.33437499999999998</v>
      </c>
      <c r="AP49" s="15">
        <v>14900</v>
      </c>
      <c r="AQ49" s="15">
        <v>17030</v>
      </c>
      <c r="AR49" s="15">
        <v>2130</v>
      </c>
      <c r="AS49" s="16">
        <f t="shared" si="2"/>
        <v>0.1429530201342282</v>
      </c>
      <c r="AT49" s="15">
        <v>17880</v>
      </c>
      <c r="AU49" s="15">
        <v>23842</v>
      </c>
      <c r="AV49" s="15">
        <v>5962</v>
      </c>
      <c r="AW49" s="16">
        <f t="shared" si="3"/>
        <v>0.33344519015659957</v>
      </c>
      <c r="AX49" s="15">
        <v>73000</v>
      </c>
      <c r="AY49" s="15">
        <v>30388</v>
      </c>
      <c r="AZ49" s="15">
        <v>30388</v>
      </c>
      <c r="BA49" s="16">
        <f t="shared" si="4"/>
        <v>0.41627397260273974</v>
      </c>
      <c r="BB49" s="12"/>
    </row>
    <row r="50" spans="1:54" s="154" customFormat="1" ht="89.25" x14ac:dyDescent="0.25">
      <c r="A50" s="13">
        <v>47</v>
      </c>
      <c r="B50" s="13" t="s">
        <v>68</v>
      </c>
      <c r="C50" s="13" t="s">
        <v>164</v>
      </c>
      <c r="D50" s="13" t="s">
        <v>282</v>
      </c>
      <c r="E50" s="13" t="s">
        <v>283</v>
      </c>
      <c r="F50" s="13" t="s">
        <v>71</v>
      </c>
      <c r="G50" s="13" t="s">
        <v>77</v>
      </c>
      <c r="H50" s="13" t="s">
        <v>210</v>
      </c>
      <c r="I50" s="13" t="s">
        <v>219</v>
      </c>
      <c r="J50" s="13" t="s">
        <v>267</v>
      </c>
      <c r="K50" s="13" t="s">
        <v>267</v>
      </c>
      <c r="L50" s="13">
        <v>-12.36531734467</v>
      </c>
      <c r="M50" s="13">
        <v>-75.054794311519998</v>
      </c>
      <c r="N50" s="39">
        <v>3604</v>
      </c>
      <c r="O50" s="13">
        <v>1</v>
      </c>
      <c r="P50" s="14">
        <v>20</v>
      </c>
      <c r="Q50" s="14">
        <v>11</v>
      </c>
      <c r="R50" s="14">
        <v>9</v>
      </c>
      <c r="S50" s="14">
        <v>2</v>
      </c>
      <c r="T50" s="14">
        <v>2</v>
      </c>
      <c r="U50" s="14">
        <f>Tabla15[[#This Row],[Nº SOCIO JOVEN(M)]]+Tabla15[[#This Row],[Nº SOCIO JOVEN(F)]]</f>
        <v>4</v>
      </c>
      <c r="V50" s="14">
        <v>20</v>
      </c>
      <c r="W50" s="14">
        <v>11</v>
      </c>
      <c r="X50" s="14">
        <v>9</v>
      </c>
      <c r="Y50" s="14">
        <v>2</v>
      </c>
      <c r="Z50" s="14">
        <v>2</v>
      </c>
      <c r="AA50" s="14">
        <f>Tabla15[[#This Row],[Nº FAMILIA JOVEN(M)]]+Tabla15[[#This Row],[Nº FAMILIA JOVEN(F)]]</f>
        <v>4</v>
      </c>
      <c r="AB50" s="52">
        <v>45200</v>
      </c>
      <c r="AC50" s="52">
        <v>20706</v>
      </c>
      <c r="AD50" s="45">
        <v>0</v>
      </c>
      <c r="AE50" s="52">
        <v>66116.95</v>
      </c>
      <c r="AF50" s="14" t="s">
        <v>88</v>
      </c>
      <c r="AG50" s="14">
        <v>81</v>
      </c>
      <c r="AH50" s="14">
        <v>750</v>
      </c>
      <c r="AI50" s="15">
        <v>1750</v>
      </c>
      <c r="AJ50" s="15">
        <v>1000</v>
      </c>
      <c r="AK50" s="16">
        <f t="shared" si="0"/>
        <v>1.3333333333333333</v>
      </c>
      <c r="AL50" s="15">
        <v>3000</v>
      </c>
      <c r="AM50" s="15">
        <v>14000</v>
      </c>
      <c r="AN50" s="15">
        <v>11000</v>
      </c>
      <c r="AO50" s="16">
        <f t="shared" si="1"/>
        <v>3.6666666666666665</v>
      </c>
      <c r="AP50" s="14">
        <v>675</v>
      </c>
      <c r="AQ50" s="15">
        <v>1750</v>
      </c>
      <c r="AR50" s="15">
        <v>1075</v>
      </c>
      <c r="AS50" s="16">
        <f t="shared" si="2"/>
        <v>1.5925925925925926</v>
      </c>
      <c r="AT50" s="15">
        <v>2700</v>
      </c>
      <c r="AU50" s="15">
        <v>14000</v>
      </c>
      <c r="AV50" s="15">
        <v>11300</v>
      </c>
      <c r="AW50" s="16">
        <f t="shared" si="3"/>
        <v>4.1851851851851851</v>
      </c>
      <c r="AX50" s="15">
        <v>39900</v>
      </c>
      <c r="AY50" s="15">
        <v>43200</v>
      </c>
      <c r="AZ50" s="15">
        <v>43200</v>
      </c>
      <c r="BA50" s="16">
        <f t="shared" si="4"/>
        <v>1.0827067669172932</v>
      </c>
      <c r="BB50" s="12"/>
    </row>
    <row r="51" spans="1:54" s="154" customFormat="1" ht="102" x14ac:dyDescent="0.25">
      <c r="A51" s="13">
        <v>48</v>
      </c>
      <c r="B51" s="13" t="s">
        <v>68</v>
      </c>
      <c r="C51" s="13" t="s">
        <v>165</v>
      </c>
      <c r="D51" s="13" t="s">
        <v>284</v>
      </c>
      <c r="E51" s="13" t="s">
        <v>285</v>
      </c>
      <c r="F51" s="13" t="s">
        <v>71</v>
      </c>
      <c r="G51" s="13" t="s">
        <v>141</v>
      </c>
      <c r="H51" s="13" t="s">
        <v>210</v>
      </c>
      <c r="I51" s="13" t="s">
        <v>214</v>
      </c>
      <c r="J51" s="13" t="s">
        <v>286</v>
      </c>
      <c r="K51" s="13" t="s">
        <v>287</v>
      </c>
      <c r="L51" s="13">
        <v>-12.547144889829999</v>
      </c>
      <c r="M51" s="13">
        <v>-74.52742767334</v>
      </c>
      <c r="N51" s="39">
        <v>3428</v>
      </c>
      <c r="O51" s="13">
        <v>1</v>
      </c>
      <c r="P51" s="14">
        <v>21</v>
      </c>
      <c r="Q51" s="14">
        <v>11</v>
      </c>
      <c r="R51" s="14">
        <v>10</v>
      </c>
      <c r="S51" s="14">
        <v>2</v>
      </c>
      <c r="T51" s="14">
        <v>1</v>
      </c>
      <c r="U51" s="14">
        <f>Tabla15[[#This Row],[Nº SOCIO JOVEN(M)]]+Tabla15[[#This Row],[Nº SOCIO JOVEN(F)]]</f>
        <v>3</v>
      </c>
      <c r="V51" s="14">
        <v>21</v>
      </c>
      <c r="W51" s="14">
        <v>11</v>
      </c>
      <c r="X51" s="14">
        <v>10</v>
      </c>
      <c r="Y51" s="14">
        <v>2</v>
      </c>
      <c r="Z51" s="14">
        <v>1</v>
      </c>
      <c r="AA51" s="14">
        <f>Tabla15[[#This Row],[Nº FAMILIA JOVEN(M)]]+Tabla15[[#This Row],[Nº FAMILIA JOVEN(F)]]</f>
        <v>3</v>
      </c>
      <c r="AB51" s="52">
        <v>42300</v>
      </c>
      <c r="AC51" s="52">
        <v>17950</v>
      </c>
      <c r="AD51" s="45">
        <v>0</v>
      </c>
      <c r="AE51" s="52">
        <v>60492.5</v>
      </c>
      <c r="AF51" s="14" t="s">
        <v>63</v>
      </c>
      <c r="AG51" s="14">
        <v>69.5</v>
      </c>
      <c r="AH51" s="14">
        <v>300</v>
      </c>
      <c r="AI51" s="14">
        <v>600</v>
      </c>
      <c r="AJ51" s="14">
        <v>300</v>
      </c>
      <c r="AK51" s="16">
        <f t="shared" si="0"/>
        <v>1</v>
      </c>
      <c r="AL51" s="15">
        <v>3600</v>
      </c>
      <c r="AM51" s="15">
        <v>9000</v>
      </c>
      <c r="AN51" s="15">
        <v>5400</v>
      </c>
      <c r="AO51" s="16">
        <f t="shared" si="1"/>
        <v>1.5</v>
      </c>
      <c r="AP51" s="14">
        <v>300</v>
      </c>
      <c r="AQ51" s="14">
        <v>550</v>
      </c>
      <c r="AR51" s="14">
        <v>250</v>
      </c>
      <c r="AS51" s="16">
        <f t="shared" si="2"/>
        <v>0.83333333333333337</v>
      </c>
      <c r="AT51" s="15">
        <v>3600</v>
      </c>
      <c r="AU51" s="15">
        <v>8250</v>
      </c>
      <c r="AV51" s="15">
        <v>4650</v>
      </c>
      <c r="AW51" s="16">
        <f t="shared" si="3"/>
        <v>1.2916666666666667</v>
      </c>
      <c r="AX51" s="15">
        <v>43000</v>
      </c>
      <c r="AY51" s="15">
        <v>38145</v>
      </c>
      <c r="AZ51" s="15">
        <v>38145</v>
      </c>
      <c r="BA51" s="16">
        <f t="shared" si="4"/>
        <v>0.88709302325581396</v>
      </c>
      <c r="BB51" s="12"/>
    </row>
    <row r="52" spans="1:54" s="154" customFormat="1" ht="76.5" x14ac:dyDescent="0.25">
      <c r="A52" s="13">
        <v>49</v>
      </c>
      <c r="B52" s="13" t="s">
        <v>68</v>
      </c>
      <c r="C52" s="13" t="s">
        <v>166</v>
      </c>
      <c r="D52" s="13" t="s">
        <v>288</v>
      </c>
      <c r="E52" s="13" t="s">
        <v>289</v>
      </c>
      <c r="F52" s="13" t="s">
        <v>69</v>
      </c>
      <c r="G52" s="13" t="s">
        <v>143</v>
      </c>
      <c r="H52" s="13" t="s">
        <v>210</v>
      </c>
      <c r="I52" s="13" t="s">
        <v>214</v>
      </c>
      <c r="J52" s="13" t="s">
        <v>286</v>
      </c>
      <c r="K52" s="13" t="s">
        <v>290</v>
      </c>
      <c r="L52" s="13">
        <v>-12.540030479429999</v>
      </c>
      <c r="M52" s="13">
        <v>-74.544479370120001</v>
      </c>
      <c r="N52" s="39">
        <v>3150</v>
      </c>
      <c r="O52" s="13">
        <v>1</v>
      </c>
      <c r="P52" s="14">
        <v>30</v>
      </c>
      <c r="Q52" s="14">
        <v>13</v>
      </c>
      <c r="R52" s="14">
        <v>17</v>
      </c>
      <c r="S52" s="14">
        <v>3</v>
      </c>
      <c r="T52" s="14">
        <v>5</v>
      </c>
      <c r="U52" s="14">
        <f>Tabla15[[#This Row],[Nº SOCIO JOVEN(M)]]+Tabla15[[#This Row],[Nº SOCIO JOVEN(F)]]</f>
        <v>8</v>
      </c>
      <c r="V52" s="14">
        <v>30</v>
      </c>
      <c r="W52" s="14">
        <v>13</v>
      </c>
      <c r="X52" s="14">
        <v>17</v>
      </c>
      <c r="Y52" s="14">
        <v>3</v>
      </c>
      <c r="Z52" s="14">
        <v>5</v>
      </c>
      <c r="AA52" s="14">
        <f>Tabla15[[#This Row],[Nº FAMILIA JOVEN(M)]]+Tabla15[[#This Row],[Nº FAMILIA JOVEN(F)]]</f>
        <v>8</v>
      </c>
      <c r="AB52" s="52">
        <v>79600</v>
      </c>
      <c r="AC52" s="52">
        <v>33400</v>
      </c>
      <c r="AD52" s="45">
        <v>0</v>
      </c>
      <c r="AE52" s="52">
        <v>113419.48</v>
      </c>
      <c r="AF52" s="14" t="s">
        <v>61</v>
      </c>
      <c r="AG52" s="14">
        <v>76.599999999999994</v>
      </c>
      <c r="AH52" s="15">
        <v>5000</v>
      </c>
      <c r="AI52" s="15">
        <v>9000</v>
      </c>
      <c r="AJ52" s="15">
        <v>4000</v>
      </c>
      <c r="AK52" s="16">
        <f t="shared" si="0"/>
        <v>0.8</v>
      </c>
      <c r="AL52" s="15">
        <v>7500</v>
      </c>
      <c r="AM52" s="15">
        <v>18000</v>
      </c>
      <c r="AN52" s="15">
        <v>10500</v>
      </c>
      <c r="AO52" s="16">
        <f t="shared" si="1"/>
        <v>1.4</v>
      </c>
      <c r="AP52" s="15">
        <v>4500</v>
      </c>
      <c r="AQ52" s="15">
        <v>9000</v>
      </c>
      <c r="AR52" s="15">
        <v>4500</v>
      </c>
      <c r="AS52" s="16">
        <f t="shared" si="2"/>
        <v>1</v>
      </c>
      <c r="AT52" s="15">
        <v>6750</v>
      </c>
      <c r="AU52" s="15">
        <v>18000</v>
      </c>
      <c r="AV52" s="15">
        <v>11250</v>
      </c>
      <c r="AW52" s="16">
        <f t="shared" si="3"/>
        <v>1.6666666666666667</v>
      </c>
      <c r="AX52" s="15">
        <v>76080</v>
      </c>
      <c r="AY52" s="15">
        <v>75200</v>
      </c>
      <c r="AZ52" s="15">
        <v>75200</v>
      </c>
      <c r="BA52" s="16">
        <f t="shared" si="4"/>
        <v>0.98843322818086221</v>
      </c>
      <c r="BB52" s="12"/>
    </row>
    <row r="53" spans="1:54" s="154" customFormat="1" ht="51" x14ac:dyDescent="0.25">
      <c r="A53" s="13">
        <v>50</v>
      </c>
      <c r="B53" s="13" t="s">
        <v>68</v>
      </c>
      <c r="C53" s="13" t="s">
        <v>167</v>
      </c>
      <c r="D53" s="13" t="s">
        <v>291</v>
      </c>
      <c r="E53" s="13" t="s">
        <v>292</v>
      </c>
      <c r="F53" s="13" t="s">
        <v>69</v>
      </c>
      <c r="G53" s="13" t="s">
        <v>143</v>
      </c>
      <c r="H53" s="13" t="s">
        <v>210</v>
      </c>
      <c r="I53" s="13" t="s">
        <v>219</v>
      </c>
      <c r="J53" s="13" t="s">
        <v>106</v>
      </c>
      <c r="K53" s="13" t="s">
        <v>233</v>
      </c>
      <c r="L53" s="13">
        <v>-12.23454380035</v>
      </c>
      <c r="M53" s="13">
        <v>-74.939254760739999</v>
      </c>
      <c r="N53" s="39">
        <v>3273</v>
      </c>
      <c r="O53" s="13">
        <v>1</v>
      </c>
      <c r="P53" s="14">
        <v>31</v>
      </c>
      <c r="Q53" s="14">
        <v>18</v>
      </c>
      <c r="R53" s="14">
        <v>13</v>
      </c>
      <c r="S53" s="14">
        <v>2</v>
      </c>
      <c r="T53" s="14">
        <v>4</v>
      </c>
      <c r="U53" s="14">
        <f>Tabla15[[#This Row],[Nº SOCIO JOVEN(M)]]+Tabla15[[#This Row],[Nº SOCIO JOVEN(F)]]</f>
        <v>6</v>
      </c>
      <c r="V53" s="14">
        <v>11</v>
      </c>
      <c r="W53" s="14">
        <v>10</v>
      </c>
      <c r="X53" s="14">
        <v>1</v>
      </c>
      <c r="Y53" s="14">
        <v>0</v>
      </c>
      <c r="Z53" s="14">
        <v>1</v>
      </c>
      <c r="AA53" s="14">
        <f>Tabla15[[#This Row],[Nº FAMILIA JOVEN(M)]]+Tabla15[[#This Row],[Nº FAMILIA JOVEN(F)]]</f>
        <v>1</v>
      </c>
      <c r="AB53" s="52">
        <v>61300</v>
      </c>
      <c r="AC53" s="52">
        <v>25800</v>
      </c>
      <c r="AD53" s="45">
        <v>0</v>
      </c>
      <c r="AE53" s="52">
        <v>87388.01</v>
      </c>
      <c r="AF53" s="14" t="s">
        <v>61</v>
      </c>
      <c r="AG53" s="14">
        <v>70.5</v>
      </c>
      <c r="AH53" s="15">
        <v>2500</v>
      </c>
      <c r="AI53" s="15">
        <v>3200</v>
      </c>
      <c r="AJ53" s="14">
        <v>700</v>
      </c>
      <c r="AK53" s="16">
        <f t="shared" si="0"/>
        <v>0.28000000000000003</v>
      </c>
      <c r="AL53" s="15">
        <v>6250</v>
      </c>
      <c r="AM53" s="15">
        <v>9600</v>
      </c>
      <c r="AN53" s="15">
        <v>3350</v>
      </c>
      <c r="AO53" s="16">
        <f t="shared" si="1"/>
        <v>0.53600000000000003</v>
      </c>
      <c r="AP53" s="15">
        <v>2000</v>
      </c>
      <c r="AQ53" s="15">
        <v>3000</v>
      </c>
      <c r="AR53" s="15">
        <v>1000</v>
      </c>
      <c r="AS53" s="16">
        <f t="shared" si="2"/>
        <v>0.5</v>
      </c>
      <c r="AT53" s="15">
        <v>5000</v>
      </c>
      <c r="AU53" s="15">
        <v>9000</v>
      </c>
      <c r="AV53" s="15">
        <v>4000</v>
      </c>
      <c r="AW53" s="16">
        <f t="shared" si="3"/>
        <v>0.8</v>
      </c>
      <c r="AX53" s="15">
        <v>30000</v>
      </c>
      <c r="AY53" s="15">
        <v>28800</v>
      </c>
      <c r="AZ53" s="15">
        <v>28800</v>
      </c>
      <c r="BA53" s="16">
        <f t="shared" si="4"/>
        <v>0.96</v>
      </c>
      <c r="BB53" s="12"/>
    </row>
    <row r="54" spans="1:54" s="154" customFormat="1" ht="38.25" x14ac:dyDescent="0.25">
      <c r="A54" s="13">
        <v>51</v>
      </c>
      <c r="B54" s="13" t="s">
        <v>68</v>
      </c>
      <c r="C54" s="13" t="s">
        <v>293</v>
      </c>
      <c r="D54" s="13" t="s">
        <v>294</v>
      </c>
      <c r="E54" s="13" t="s">
        <v>295</v>
      </c>
      <c r="F54" s="13" t="s">
        <v>76</v>
      </c>
      <c r="G54" s="13" t="s">
        <v>121</v>
      </c>
      <c r="H54" s="13" t="s">
        <v>210</v>
      </c>
      <c r="I54" s="13" t="s">
        <v>214</v>
      </c>
      <c r="J54" s="13" t="s">
        <v>286</v>
      </c>
      <c r="K54" s="13" t="s">
        <v>286</v>
      </c>
      <c r="L54" s="13">
        <v>-12.553586959840001</v>
      </c>
      <c r="M54" s="13">
        <v>-74.52986907959</v>
      </c>
      <c r="N54" s="39">
        <v>3381</v>
      </c>
      <c r="O54" s="13">
        <v>1</v>
      </c>
      <c r="P54" s="14">
        <v>25</v>
      </c>
      <c r="Q54" s="14">
        <v>10</v>
      </c>
      <c r="R54" s="14">
        <v>15</v>
      </c>
      <c r="S54" s="14">
        <v>2</v>
      </c>
      <c r="T54" s="14">
        <v>1</v>
      </c>
      <c r="U54" s="14">
        <f>Tabla15[[#This Row],[Nº SOCIO JOVEN(M)]]+Tabla15[[#This Row],[Nº SOCIO JOVEN(F)]]</f>
        <v>3</v>
      </c>
      <c r="V54" s="14">
        <v>25</v>
      </c>
      <c r="W54" s="14">
        <v>10</v>
      </c>
      <c r="X54" s="14">
        <v>15</v>
      </c>
      <c r="Y54" s="14">
        <v>2</v>
      </c>
      <c r="Z54" s="14">
        <v>1</v>
      </c>
      <c r="AA54" s="14">
        <f>Tabla15[[#This Row],[Nº FAMILIA JOVEN(M)]]+Tabla15[[#This Row],[Nº FAMILIA JOVEN(F)]]</f>
        <v>3</v>
      </c>
      <c r="AB54" s="52">
        <v>61300</v>
      </c>
      <c r="AC54" s="52">
        <v>25950</v>
      </c>
      <c r="AD54" s="45">
        <v>0</v>
      </c>
      <c r="AE54" s="52">
        <v>87615.09</v>
      </c>
      <c r="AF54" s="14" t="s">
        <v>63</v>
      </c>
      <c r="AG54" s="14">
        <v>68.5</v>
      </c>
      <c r="AH54" s="14">
        <v>280</v>
      </c>
      <c r="AI54" s="14">
        <v>580</v>
      </c>
      <c r="AJ54" s="14">
        <v>300</v>
      </c>
      <c r="AK54" s="16">
        <f t="shared" si="0"/>
        <v>1.0714285714285714</v>
      </c>
      <c r="AL54" s="15">
        <v>3360</v>
      </c>
      <c r="AM54" s="15">
        <v>8120</v>
      </c>
      <c r="AN54" s="15">
        <v>4760</v>
      </c>
      <c r="AO54" s="16">
        <f t="shared" si="1"/>
        <v>1.4166666666666667</v>
      </c>
      <c r="AP54" s="14">
        <v>260</v>
      </c>
      <c r="AQ54" s="14">
        <v>520</v>
      </c>
      <c r="AR54" s="14">
        <v>260</v>
      </c>
      <c r="AS54" s="16">
        <f t="shared" si="2"/>
        <v>1</v>
      </c>
      <c r="AT54" s="15">
        <v>3120</v>
      </c>
      <c r="AU54" s="15">
        <v>7280</v>
      </c>
      <c r="AV54" s="15">
        <v>4160</v>
      </c>
      <c r="AW54" s="16">
        <f t="shared" si="3"/>
        <v>1.3333333333333333</v>
      </c>
      <c r="AX54" s="15">
        <v>54800</v>
      </c>
      <c r="AY54" s="15">
        <v>53730</v>
      </c>
      <c r="AZ54" s="15">
        <v>53730</v>
      </c>
      <c r="BA54" s="16">
        <f t="shared" si="4"/>
        <v>0.98047445255474452</v>
      </c>
      <c r="BB54" s="12"/>
    </row>
    <row r="55" spans="1:54" s="154" customFormat="1" ht="38.25" x14ac:dyDescent="0.25">
      <c r="A55" s="13">
        <v>52</v>
      </c>
      <c r="B55" s="13" t="s">
        <v>68</v>
      </c>
      <c r="C55" s="13" t="s">
        <v>296</v>
      </c>
      <c r="D55" s="13" t="s">
        <v>297</v>
      </c>
      <c r="E55" s="13" t="s">
        <v>298</v>
      </c>
      <c r="F55" s="13" t="s">
        <v>76</v>
      </c>
      <c r="G55" s="13" t="s">
        <v>121</v>
      </c>
      <c r="H55" s="13" t="s">
        <v>210</v>
      </c>
      <c r="I55" s="13" t="s">
        <v>219</v>
      </c>
      <c r="J55" s="13" t="s">
        <v>299</v>
      </c>
      <c r="K55" s="13" t="s">
        <v>187</v>
      </c>
      <c r="L55" s="13">
        <v>-12.40627670288</v>
      </c>
      <c r="M55" s="13">
        <v>-74.91310119629</v>
      </c>
      <c r="N55" s="39">
        <v>3268</v>
      </c>
      <c r="O55" s="13">
        <v>1</v>
      </c>
      <c r="P55" s="14">
        <v>21</v>
      </c>
      <c r="Q55" s="14">
        <v>11</v>
      </c>
      <c r="R55" s="14">
        <v>10</v>
      </c>
      <c r="S55" s="14">
        <v>4</v>
      </c>
      <c r="T55" s="14">
        <v>4</v>
      </c>
      <c r="U55" s="14">
        <f>Tabla15[[#This Row],[Nº SOCIO JOVEN(M)]]+Tabla15[[#This Row],[Nº SOCIO JOVEN(F)]]</f>
        <v>8</v>
      </c>
      <c r="V55" s="14">
        <v>21</v>
      </c>
      <c r="W55" s="14">
        <v>11</v>
      </c>
      <c r="X55" s="14">
        <v>10</v>
      </c>
      <c r="Y55" s="14">
        <v>4</v>
      </c>
      <c r="Z55" s="14">
        <v>4</v>
      </c>
      <c r="AA55" s="14">
        <f>Tabla15[[#This Row],[Nº FAMILIA JOVEN(M)]]+Tabla15[[#This Row],[Nº FAMILIA JOVEN(F)]]</f>
        <v>8</v>
      </c>
      <c r="AB55" s="52">
        <v>59900</v>
      </c>
      <c r="AC55" s="52">
        <v>28260</v>
      </c>
      <c r="AD55" s="45">
        <v>0</v>
      </c>
      <c r="AE55" s="52">
        <v>88441.11</v>
      </c>
      <c r="AF55" s="14" t="s">
        <v>88</v>
      </c>
      <c r="AG55" s="14">
        <v>81</v>
      </c>
      <c r="AH55" s="15">
        <v>3000</v>
      </c>
      <c r="AI55" s="15">
        <v>6200</v>
      </c>
      <c r="AJ55" s="15">
        <v>3200</v>
      </c>
      <c r="AK55" s="16">
        <f t="shared" si="0"/>
        <v>1.0666666666666667</v>
      </c>
      <c r="AL55" s="15">
        <v>36000</v>
      </c>
      <c r="AM55" s="15">
        <v>93000</v>
      </c>
      <c r="AN55" s="15">
        <v>57000</v>
      </c>
      <c r="AO55" s="16">
        <f t="shared" si="1"/>
        <v>1.5833333333333333</v>
      </c>
      <c r="AP55" s="15">
        <v>2600</v>
      </c>
      <c r="AQ55" s="15">
        <v>6000</v>
      </c>
      <c r="AR55" s="15">
        <v>3400</v>
      </c>
      <c r="AS55" s="16">
        <f t="shared" si="2"/>
        <v>1.3076923076923077</v>
      </c>
      <c r="AT55" s="15">
        <v>31200</v>
      </c>
      <c r="AU55" s="15">
        <v>90000</v>
      </c>
      <c r="AV55" s="15">
        <v>58800</v>
      </c>
      <c r="AW55" s="16">
        <f t="shared" si="3"/>
        <v>1.8846153846153846</v>
      </c>
      <c r="AX55" s="15">
        <v>55300</v>
      </c>
      <c r="AY55" s="15">
        <v>53500</v>
      </c>
      <c r="AZ55" s="15">
        <v>53500</v>
      </c>
      <c r="BA55" s="16">
        <f t="shared" si="4"/>
        <v>0.96745027124773963</v>
      </c>
      <c r="BB55" s="12"/>
    </row>
    <row r="56" spans="1:54" s="154" customFormat="1" ht="38.25" x14ac:dyDescent="0.25">
      <c r="A56" s="13">
        <v>53</v>
      </c>
      <c r="B56" s="13" t="s">
        <v>68</v>
      </c>
      <c r="C56" s="13" t="s">
        <v>300</v>
      </c>
      <c r="D56" s="13" t="s">
        <v>301</v>
      </c>
      <c r="E56" s="13" t="s">
        <v>302</v>
      </c>
      <c r="F56" s="13" t="s">
        <v>76</v>
      </c>
      <c r="G56" s="13" t="s">
        <v>121</v>
      </c>
      <c r="H56" s="13" t="s">
        <v>210</v>
      </c>
      <c r="I56" s="13" t="s">
        <v>214</v>
      </c>
      <c r="J56" s="13" t="s">
        <v>286</v>
      </c>
      <c r="K56" s="13" t="s">
        <v>303</v>
      </c>
      <c r="L56" s="13">
        <v>-12.567100524900001</v>
      </c>
      <c r="M56" s="13">
        <v>-74.511344909670001</v>
      </c>
      <c r="N56" s="39">
        <v>3742</v>
      </c>
      <c r="O56" s="13">
        <v>1</v>
      </c>
      <c r="P56" s="14">
        <v>23</v>
      </c>
      <c r="Q56" s="14">
        <v>16</v>
      </c>
      <c r="R56" s="14">
        <v>7</v>
      </c>
      <c r="S56" s="14">
        <v>0</v>
      </c>
      <c r="T56" s="14">
        <v>1</v>
      </c>
      <c r="U56" s="14">
        <f>Tabla15[[#This Row],[Nº SOCIO JOVEN(M)]]+Tabla15[[#This Row],[Nº SOCIO JOVEN(F)]]</f>
        <v>1</v>
      </c>
      <c r="V56" s="14">
        <v>23</v>
      </c>
      <c r="W56" s="14">
        <v>16</v>
      </c>
      <c r="X56" s="14">
        <v>7</v>
      </c>
      <c r="Y56" s="14">
        <v>0</v>
      </c>
      <c r="Z56" s="14">
        <v>1</v>
      </c>
      <c r="AA56" s="14">
        <f>Tabla15[[#This Row],[Nº FAMILIA JOVEN(M)]]+Tabla15[[#This Row],[Nº FAMILIA JOVEN(F)]]</f>
        <v>1</v>
      </c>
      <c r="AB56" s="51">
        <v>61300</v>
      </c>
      <c r="AC56" s="51">
        <v>25950</v>
      </c>
      <c r="AD56" s="50">
        <v>0</v>
      </c>
      <c r="AE56" s="51">
        <v>87660.85</v>
      </c>
      <c r="AF56" s="14" t="s">
        <v>61</v>
      </c>
      <c r="AG56" s="14">
        <v>70</v>
      </c>
      <c r="AH56" s="14">
        <v>200</v>
      </c>
      <c r="AI56" s="14">
        <v>500</v>
      </c>
      <c r="AJ56" s="14">
        <v>300</v>
      </c>
      <c r="AK56" s="16">
        <f t="shared" si="0"/>
        <v>1.5</v>
      </c>
      <c r="AL56" s="15">
        <v>2400</v>
      </c>
      <c r="AM56" s="15">
        <v>7500</v>
      </c>
      <c r="AN56" s="15">
        <v>5100</v>
      </c>
      <c r="AO56" s="16">
        <f t="shared" si="1"/>
        <v>2.125</v>
      </c>
      <c r="AP56" s="14">
        <v>200</v>
      </c>
      <c r="AQ56" s="14">
        <v>450</v>
      </c>
      <c r="AR56" s="14">
        <v>250</v>
      </c>
      <c r="AS56" s="16">
        <f t="shared" si="2"/>
        <v>1.25</v>
      </c>
      <c r="AT56" s="15">
        <v>2400</v>
      </c>
      <c r="AU56" s="15">
        <v>6750</v>
      </c>
      <c r="AV56" s="15">
        <v>4350</v>
      </c>
      <c r="AW56" s="16">
        <f t="shared" si="3"/>
        <v>1.8125</v>
      </c>
      <c r="AX56" s="15">
        <v>62600</v>
      </c>
      <c r="AY56" s="15">
        <v>58583</v>
      </c>
      <c r="AZ56" s="15">
        <v>58583</v>
      </c>
      <c r="BA56" s="16">
        <f t="shared" si="4"/>
        <v>0.93583067092651762</v>
      </c>
      <c r="BB56" s="12"/>
    </row>
    <row r="57" spans="1:54" s="154" customFormat="1" x14ac:dyDescent="0.25">
      <c r="A57" s="13"/>
      <c r="B57" s="13"/>
      <c r="C57" s="13"/>
      <c r="D57" s="13"/>
      <c r="E57" s="13"/>
      <c r="F57" s="13"/>
      <c r="G57" s="13"/>
      <c r="H57" s="13"/>
      <c r="I57" s="13"/>
      <c r="J57" s="13"/>
      <c r="K57" s="13"/>
      <c r="L57" s="13"/>
      <c r="M57" s="13"/>
      <c r="O57" s="13"/>
      <c r="P57" s="14"/>
      <c r="Q57" s="14"/>
      <c r="R57" s="14"/>
      <c r="S57" s="14"/>
      <c r="T57" s="14"/>
      <c r="U57" s="18"/>
      <c r="V57" s="53">
        <f>SUBTOTAL(109,Tabla15[FAMILIAS])</f>
        <v>1411</v>
      </c>
      <c r="W57" s="53">
        <f>SUBTOTAL(109,Tabla15[Nº FAMILIAS(M)])</f>
        <v>906</v>
      </c>
      <c r="X57" s="53">
        <f>SUBTOTAL(109,Tabla15[Nº FAMILIAS(F)])</f>
        <v>505</v>
      </c>
      <c r="Y57" s="53">
        <f>SUBTOTAL(109,Tabla15[Nº FAMILIAS(M)])</f>
        <v>906</v>
      </c>
      <c r="Z57" s="53">
        <f>SUBTOTAL(109,Tabla15[Nº FAMILIAS(F)])</f>
        <v>505</v>
      </c>
      <c r="AA57" s="53">
        <f>SUBTOTAL(109,Tabla15[Nº FAMILIA JOVEN(M)])</f>
        <v>118</v>
      </c>
      <c r="AB57" s="53"/>
      <c r="AC57" s="53"/>
      <c r="AD57" s="53"/>
      <c r="AE57" s="53"/>
      <c r="AF57" s="53"/>
      <c r="AG57" s="53"/>
      <c r="AH57" s="53">
        <f>SUBTOTAL(109,Tabla15[Sin proyecto])</f>
        <v>395846</v>
      </c>
      <c r="AI57" s="53">
        <f>SUBTOTAL(109,Tabla15[Con proyecto])</f>
        <v>597437</v>
      </c>
      <c r="AJ57" s="53">
        <f>SUBTOTAL(109,Tabla15[Incremento])</f>
        <v>201591</v>
      </c>
      <c r="AK57" s="16">
        <f>Tabla15[[#Totals],[Incremento]]/Tabla15[[#Totals],[Sin proyecto]]</f>
        <v>0.50926622979643599</v>
      </c>
      <c r="AL57" s="53">
        <f>SUBTOTAL(109,Tabla15[Sin proyecto2])</f>
        <v>1000880</v>
      </c>
      <c r="AM57" s="53">
        <f>SUBTOTAL(109,Tabla15[Con proyecto3])</f>
        <v>1741339</v>
      </c>
      <c r="AN57" s="53">
        <f>SUBTOTAL(109,Tabla15[Incremento (S/)])</f>
        <v>740459</v>
      </c>
      <c r="AO57" s="16">
        <f>Tabla15[[#Totals],[Incremento (S/)]]/Tabla15[[#Totals],[Sin proyecto2]]</f>
        <v>0.73980796898729118</v>
      </c>
      <c r="AP57" s="53">
        <f>SUBTOTAL(109,Tabla15[Sin proyecto5])</f>
        <v>360363</v>
      </c>
      <c r="AQ57" s="53">
        <f>SUBTOTAL(109,Tabla15[Con proyecto6])</f>
        <v>553168</v>
      </c>
      <c r="AR57" s="53">
        <f>SUBTOTAL(109,Tabla15[Incremento (S/)7])</f>
        <v>192805</v>
      </c>
      <c r="AS57" s="16">
        <f>Tabla15[[#Totals],[Incremento (S/)7]]/Tabla15[[#Totals],[Sin proyecto5]]</f>
        <v>0.53502995590557301</v>
      </c>
      <c r="AT57" s="53">
        <f>SUBTOTAL(109,Tabla15[Sin proyecto9])</f>
        <v>874966</v>
      </c>
      <c r="AU57" s="53">
        <f>SUBTOTAL(109,Tabla15[Con proyecto10])</f>
        <v>1549275</v>
      </c>
      <c r="AV57" s="53">
        <f>SUBTOTAL(109,Tabla15[Incremento (S/)11])</f>
        <v>674310</v>
      </c>
      <c r="AW57" s="16">
        <f>Tabla15[[#Totals],[Incremento (S/)11]]/Tabla15[[#Totals],[Sin proyecto9]]</f>
        <v>0.77066994603218864</v>
      </c>
      <c r="AX57" s="15">
        <f>SUBTOTAL(109,Tabla15[Sin proyecto13])</f>
        <v>3401170</v>
      </c>
      <c r="AY57" s="53">
        <f>SUBTOTAL(109,Tabla15[Con proyecto14])</f>
        <v>2105210</v>
      </c>
      <c r="AZ57" s="53">
        <f>SUBTOTAL(109,Tabla15[Incremento (S/)15])</f>
        <v>2105210</v>
      </c>
      <c r="BA57" s="54">
        <f>Tabla15[[#Totals],[Incremento (S/)15]]/Tabla15[[#Totals],[Sin proyecto13]]</f>
        <v>0.61896641449854017</v>
      </c>
      <c r="BB57" s="155"/>
    </row>
    <row r="58" spans="1:54" s="156" customFormat="1" ht="17.25" x14ac:dyDescent="0.25">
      <c r="P58" s="157"/>
      <c r="Q58" s="157"/>
      <c r="R58" s="157"/>
      <c r="S58" s="157"/>
      <c r="T58" s="157"/>
      <c r="U58" s="157"/>
      <c r="V58" s="157"/>
      <c r="W58" s="157"/>
      <c r="X58" s="157"/>
      <c r="Y58" s="157"/>
      <c r="Z58" s="157"/>
      <c r="AA58" s="157"/>
      <c r="AB58" s="157"/>
      <c r="AC58" s="157"/>
      <c r="AD58" s="157"/>
      <c r="AE58" s="157"/>
      <c r="AF58" s="157"/>
      <c r="AG58" s="157"/>
      <c r="AH58" s="158">
        <f>SUBTOTAL(9,AH4:AH57)</f>
        <v>395846</v>
      </c>
      <c r="AI58" s="158">
        <f>SUBTOTAL(9,AI4:AI57)</f>
        <v>597437</v>
      </c>
      <c r="AJ58" s="158">
        <f>SUBTOTAL(9,AJ4:AJ57)</f>
        <v>201591</v>
      </c>
      <c r="AK58" s="22">
        <f t="shared" ref="AK58" si="5">(AI58-AH58)/AH58</f>
        <v>0.50926622979643599</v>
      </c>
      <c r="AL58" s="158">
        <f>SUBTOTAL(9,AL4:AL57)</f>
        <v>1000880</v>
      </c>
      <c r="AM58" s="158">
        <f>SUBTOTAL(9,AM4:AM57)</f>
        <v>1741339</v>
      </c>
      <c r="AN58" s="158">
        <f>SUBTOTAL(9,AN4:AN57)</f>
        <v>740459</v>
      </c>
      <c r="AO58" s="159">
        <f>AN58/AL58</f>
        <v>0.73980796898729118</v>
      </c>
      <c r="AP58" s="158">
        <f>SUBTOTAL(9,AP4:AP56)</f>
        <v>360363</v>
      </c>
      <c r="AQ58" s="158">
        <f>SUBTOTAL(9,AQ4:AQ56)</f>
        <v>553168</v>
      </c>
      <c r="AR58" s="158">
        <f>SUBTOTAL(9,AR4:AR56)</f>
        <v>192805</v>
      </c>
      <c r="AS58" s="22">
        <f t="shared" ref="AS58" si="6">(AQ58-AP58)/AP58</f>
        <v>0.53502995590557301</v>
      </c>
      <c r="AT58" s="160">
        <f>SUBTOTAL(9,AT4:AT57)</f>
        <v>874966</v>
      </c>
      <c r="AU58" s="160">
        <f>SUBTOTAL(9,AU4:AU57)</f>
        <v>1549275</v>
      </c>
      <c r="AV58" s="160">
        <f>SUBTOTAL(9,AV4:AV57)</f>
        <v>674310</v>
      </c>
      <c r="AW58" s="25">
        <f t="shared" ref="AW58" si="7">(AU58-AT58)/AT58</f>
        <v>0.7706688031306359</v>
      </c>
      <c r="AX58" s="161">
        <f>SUBTOTAL(9,AX4:AX57)</f>
        <v>3401170</v>
      </c>
      <c r="AY58" s="161">
        <f>SUBTOTAL(9,AY4:AY57)</f>
        <v>2105210</v>
      </c>
      <c r="AZ58" s="161">
        <f>SUBTOTAL(9,AZ4:AZ57)</f>
        <v>2105210</v>
      </c>
      <c r="BA58" s="162">
        <f>AZ58/AX58</f>
        <v>0.61896641449854017</v>
      </c>
      <c r="BB58" s="163"/>
    </row>
    <row r="59" spans="1:54" ht="17.25" x14ac:dyDescent="0.25">
      <c r="AX59" s="167"/>
      <c r="BA59" s="165">
        <v>64</v>
      </c>
    </row>
    <row r="60" spans="1:54" x14ac:dyDescent="0.25">
      <c r="K60" s="168"/>
      <c r="L60" s="168"/>
      <c r="M60" s="168"/>
      <c r="N60" s="168"/>
      <c r="O60" s="168"/>
      <c r="P60" s="169"/>
      <c r="Q60" s="169"/>
      <c r="R60" s="169"/>
      <c r="S60" s="169"/>
      <c r="T60" s="169"/>
      <c r="U60" s="169"/>
      <c r="V60" s="169"/>
      <c r="W60" s="169"/>
      <c r="X60" s="169"/>
      <c r="Y60" s="169"/>
      <c r="Z60" s="169"/>
      <c r="AA60" s="169"/>
      <c r="AB60" s="169"/>
      <c r="AC60" s="169"/>
      <c r="AX60" s="170"/>
      <c r="AY60" s="171"/>
    </row>
    <row r="61" spans="1:54" x14ac:dyDescent="0.25">
      <c r="K61" s="168"/>
      <c r="L61" s="168"/>
      <c r="M61" s="168"/>
      <c r="N61" s="168"/>
      <c r="O61" s="168"/>
      <c r="P61" s="169"/>
      <c r="Q61" s="169"/>
      <c r="R61" s="169"/>
      <c r="S61" s="169"/>
      <c r="T61" s="169"/>
      <c r="U61" s="169"/>
      <c r="V61" s="169"/>
      <c r="W61" s="169"/>
      <c r="X61" s="169"/>
      <c r="Y61" s="169"/>
      <c r="Z61" s="169"/>
      <c r="AA61" s="169"/>
      <c r="AB61" s="169"/>
      <c r="AC61" s="169"/>
      <c r="AX61" s="172"/>
    </row>
    <row r="62" spans="1:54" x14ac:dyDescent="0.25">
      <c r="AB62" s="169"/>
    </row>
    <row r="65" spans="1:54" s="165" customFormat="1" x14ac:dyDescent="0.25">
      <c r="A65" s="164"/>
      <c r="B65" s="164"/>
      <c r="C65" s="164"/>
      <c r="D65" s="164"/>
      <c r="E65" s="164"/>
      <c r="F65" s="164"/>
      <c r="G65" s="164"/>
      <c r="H65" s="164"/>
      <c r="I65" s="164"/>
      <c r="J65" s="164"/>
      <c r="K65" s="164"/>
      <c r="L65" s="164"/>
      <c r="M65" s="164"/>
      <c r="N65" s="164"/>
      <c r="O65" s="164"/>
      <c r="AS65" s="165" t="s">
        <v>68</v>
      </c>
      <c r="AT65" s="173">
        <v>53003838</v>
      </c>
      <c r="AU65" s="173">
        <v>76962607</v>
      </c>
      <c r="AV65" s="173">
        <v>23958774</v>
      </c>
      <c r="AW65" s="174">
        <v>0.45201960658018764</v>
      </c>
      <c r="BB65" s="155"/>
    </row>
    <row r="66" spans="1:54" s="165" customFormat="1" x14ac:dyDescent="0.25">
      <c r="A66" s="164"/>
      <c r="B66" s="164"/>
      <c r="C66" s="164"/>
      <c r="D66" s="164"/>
      <c r="E66" s="164"/>
      <c r="F66" s="164"/>
      <c r="G66" s="164"/>
      <c r="H66" s="164"/>
      <c r="I66" s="164"/>
      <c r="J66" s="164"/>
      <c r="K66" s="164"/>
      <c r="L66" s="164"/>
      <c r="M66" s="164"/>
      <c r="N66" s="164"/>
      <c r="O66" s="164"/>
      <c r="AT66" s="173"/>
      <c r="AU66" s="173"/>
      <c r="AV66" s="173"/>
      <c r="AW66" s="174"/>
      <c r="BB66" s="155"/>
    </row>
    <row r="67" spans="1:54" s="165" customFormat="1" x14ac:dyDescent="0.25">
      <c r="A67" s="164"/>
      <c r="B67" s="164"/>
      <c r="C67" s="164"/>
      <c r="D67" s="164"/>
      <c r="E67" s="164"/>
      <c r="F67" s="164"/>
      <c r="G67" s="164"/>
      <c r="H67" s="164"/>
      <c r="I67" s="164"/>
      <c r="J67" s="164"/>
      <c r="K67" s="164"/>
      <c r="L67" s="164"/>
      <c r="M67" s="164"/>
      <c r="N67" s="164"/>
      <c r="O67" s="164"/>
      <c r="AS67" s="165" t="s">
        <v>57</v>
      </c>
      <c r="AT67" s="173">
        <v>4147796</v>
      </c>
      <c r="AU67" s="173">
        <v>7598716</v>
      </c>
      <c r="AV67" s="173">
        <v>3450919</v>
      </c>
      <c r="AW67" s="174">
        <v>0.83198860310391354</v>
      </c>
      <c r="BB67" s="155"/>
    </row>
    <row r="68" spans="1:54" s="165" customFormat="1" x14ac:dyDescent="0.25">
      <c r="A68" s="164"/>
      <c r="B68" s="164"/>
      <c r="C68" s="164"/>
      <c r="D68" s="164"/>
      <c r="E68" s="164"/>
      <c r="F68" s="164"/>
      <c r="G68" s="164"/>
      <c r="H68" s="164"/>
      <c r="I68" s="164"/>
      <c r="J68" s="164"/>
      <c r="K68" s="164"/>
      <c r="L68" s="164"/>
      <c r="M68" s="164"/>
      <c r="N68" s="164"/>
      <c r="O68" s="164"/>
      <c r="AT68" s="175"/>
      <c r="AU68" s="175"/>
      <c r="AV68" s="175"/>
      <c r="AW68" s="174"/>
      <c r="BB68" s="155"/>
    </row>
    <row r="69" spans="1:54" s="165" customFormat="1" x14ac:dyDescent="0.25">
      <c r="A69" s="164"/>
      <c r="B69" s="164"/>
      <c r="C69" s="164"/>
      <c r="D69" s="164"/>
      <c r="E69" s="164"/>
      <c r="F69" s="164"/>
      <c r="G69" s="164"/>
      <c r="H69" s="164"/>
      <c r="I69" s="164"/>
      <c r="J69" s="164"/>
      <c r="K69" s="164"/>
      <c r="L69" s="164"/>
      <c r="M69" s="164"/>
      <c r="N69" s="164"/>
      <c r="O69" s="164"/>
      <c r="AT69" s="315" t="s">
        <v>32</v>
      </c>
      <c r="AU69" s="316"/>
      <c r="AV69" s="317"/>
      <c r="AW69" s="175" t="s">
        <v>29</v>
      </c>
      <c r="BB69" s="155"/>
    </row>
    <row r="70" spans="1:54" s="165" customFormat="1" x14ac:dyDescent="0.25">
      <c r="A70" s="164"/>
      <c r="B70" s="164"/>
      <c r="C70" s="164"/>
      <c r="D70" s="164"/>
      <c r="E70" s="164"/>
      <c r="F70" s="164"/>
      <c r="G70" s="164"/>
      <c r="H70" s="164"/>
      <c r="I70" s="164"/>
      <c r="J70" s="164"/>
      <c r="K70" s="164"/>
      <c r="L70" s="164"/>
      <c r="M70" s="164"/>
      <c r="N70" s="164"/>
      <c r="O70" s="164"/>
      <c r="AT70" s="175" t="s">
        <v>33</v>
      </c>
      <c r="AU70" s="175" t="s">
        <v>34</v>
      </c>
      <c r="AV70" s="175" t="s">
        <v>35</v>
      </c>
      <c r="AW70" s="174"/>
      <c r="BB70" s="155"/>
    </row>
    <row r="71" spans="1:54" s="165" customFormat="1" x14ac:dyDescent="0.25">
      <c r="A71" s="164"/>
      <c r="B71" s="164"/>
      <c r="C71" s="164"/>
      <c r="D71" s="164"/>
      <c r="E71" s="164"/>
      <c r="F71" s="164"/>
      <c r="G71" s="164"/>
      <c r="H71" s="164"/>
      <c r="I71" s="164"/>
      <c r="J71" s="164"/>
      <c r="K71" s="164"/>
      <c r="L71" s="164"/>
      <c r="M71" s="164"/>
      <c r="N71" s="164"/>
      <c r="O71" s="164"/>
      <c r="AR71" s="165" t="s">
        <v>305</v>
      </c>
      <c r="AS71" s="318" t="s">
        <v>306</v>
      </c>
      <c r="AT71" s="176">
        <v>57151634</v>
      </c>
      <c r="AU71" s="176">
        <v>84561323</v>
      </c>
      <c r="AV71" s="176">
        <v>27409693</v>
      </c>
      <c r="AW71" s="174">
        <f>AV71/AT71</f>
        <v>0.47959596395791587</v>
      </c>
      <c r="AX71" s="319" t="s">
        <v>307</v>
      </c>
      <c r="BB71" s="155"/>
    </row>
    <row r="72" spans="1:54" s="165" customFormat="1" x14ac:dyDescent="0.25">
      <c r="A72" s="164"/>
      <c r="B72" s="164"/>
      <c r="C72" s="164"/>
      <c r="D72" s="164"/>
      <c r="E72" s="164"/>
      <c r="F72" s="164"/>
      <c r="G72" s="164"/>
      <c r="H72" s="164"/>
      <c r="I72" s="164"/>
      <c r="J72" s="164"/>
      <c r="K72" s="164"/>
      <c r="L72" s="164"/>
      <c r="M72" s="164"/>
      <c r="N72" s="164"/>
      <c r="O72" s="164"/>
      <c r="AS72" s="318"/>
      <c r="AT72" s="176">
        <f>AT71/(13583+21560)</f>
        <v>1626.259397319523</v>
      </c>
      <c r="AU72" s="176">
        <f>AU71/(13583+21560)</f>
        <v>2406.2067268019237</v>
      </c>
      <c r="AV72" s="176">
        <f>AV71/(13583+21560)</f>
        <v>779.94744330307606</v>
      </c>
      <c r="AW72" s="174">
        <f t="shared" ref="AW72:AW76" si="8">AV72/AT72</f>
        <v>0.47959596395791593</v>
      </c>
      <c r="AX72" s="319"/>
      <c r="AY72" s="165">
        <v>13583</v>
      </c>
      <c r="BB72" s="155"/>
    </row>
    <row r="73" spans="1:54" s="165" customFormat="1" x14ac:dyDescent="0.25">
      <c r="A73" s="164"/>
      <c r="B73" s="164"/>
      <c r="C73" s="164"/>
      <c r="D73" s="164"/>
      <c r="E73" s="164"/>
      <c r="F73" s="164"/>
      <c r="G73" s="164"/>
      <c r="H73" s="164"/>
      <c r="I73" s="164"/>
      <c r="J73" s="164"/>
      <c r="K73" s="164"/>
      <c r="L73" s="164"/>
      <c r="M73" s="164"/>
      <c r="N73" s="164"/>
      <c r="O73" s="164"/>
      <c r="AS73" s="318" t="s">
        <v>308</v>
      </c>
      <c r="AT73" s="176">
        <v>53003838</v>
      </c>
      <c r="AU73" s="176">
        <v>76962607</v>
      </c>
      <c r="AV73" s="176">
        <v>23958774</v>
      </c>
      <c r="AW73" s="174">
        <f t="shared" si="8"/>
        <v>0.45201960658018764</v>
      </c>
      <c r="AX73" s="319" t="s">
        <v>309</v>
      </c>
      <c r="BB73" s="155"/>
    </row>
    <row r="74" spans="1:54" s="165" customFormat="1" x14ac:dyDescent="0.25">
      <c r="A74" s="164"/>
      <c r="B74" s="164"/>
      <c r="C74" s="164"/>
      <c r="D74" s="164"/>
      <c r="E74" s="164"/>
      <c r="F74" s="164"/>
      <c r="G74" s="164"/>
      <c r="H74" s="164"/>
      <c r="I74" s="164"/>
      <c r="J74" s="164"/>
      <c r="K74" s="164"/>
      <c r="L74" s="164"/>
      <c r="M74" s="164"/>
      <c r="N74" s="164"/>
      <c r="O74" s="164"/>
      <c r="AS74" s="318"/>
      <c r="AT74" s="176">
        <f>AT73/13583</f>
        <v>3902.218802915409</v>
      </c>
      <c r="AU74" s="176">
        <f>AU73/AY72</f>
        <v>5666.0978428918497</v>
      </c>
      <c r="AV74" s="176">
        <f>AV73/AY72</f>
        <v>1763.879408083634</v>
      </c>
      <c r="AW74" s="174">
        <f t="shared" si="8"/>
        <v>0.45201960658018764</v>
      </c>
      <c r="AX74" s="319"/>
      <c r="BB74" s="155"/>
    </row>
    <row r="75" spans="1:54" s="165" customFormat="1" x14ac:dyDescent="0.25">
      <c r="A75" s="164"/>
      <c r="B75" s="164"/>
      <c r="C75" s="164"/>
      <c r="D75" s="164"/>
      <c r="E75" s="164"/>
      <c r="F75" s="164"/>
      <c r="G75" s="164"/>
      <c r="H75" s="164"/>
      <c r="I75" s="164"/>
      <c r="J75" s="164"/>
      <c r="K75" s="164"/>
      <c r="L75" s="164"/>
      <c r="M75" s="164"/>
      <c r="N75" s="164"/>
      <c r="O75" s="164"/>
      <c r="AR75" s="165" t="s">
        <v>310</v>
      </c>
      <c r="AS75" s="177" t="s">
        <v>57</v>
      </c>
      <c r="AT75" s="176">
        <v>4147796</v>
      </c>
      <c r="AU75" s="176">
        <v>7598716</v>
      </c>
      <c r="AV75" s="176">
        <v>3450919</v>
      </c>
      <c r="AW75" s="174">
        <f t="shared" si="8"/>
        <v>0.83198860310391354</v>
      </c>
      <c r="AX75" s="178" t="s">
        <v>311</v>
      </c>
      <c r="AY75" s="165">
        <v>21560</v>
      </c>
      <c r="BB75" s="155"/>
    </row>
    <row r="76" spans="1:54" s="165" customFormat="1" x14ac:dyDescent="0.25">
      <c r="A76" s="164"/>
      <c r="B76" s="164"/>
      <c r="C76" s="164"/>
      <c r="D76" s="164"/>
      <c r="E76" s="164"/>
      <c r="F76" s="164"/>
      <c r="G76" s="164"/>
      <c r="H76" s="164"/>
      <c r="I76" s="164"/>
      <c r="J76" s="164"/>
      <c r="K76" s="164"/>
      <c r="L76" s="164"/>
      <c r="M76" s="164"/>
      <c r="N76" s="164"/>
      <c r="O76" s="164"/>
      <c r="AS76" s="177"/>
      <c r="AT76" s="176">
        <f>AT75/AY75</f>
        <v>192.38385899814472</v>
      </c>
      <c r="AU76" s="176">
        <f>AU75/AY75</f>
        <v>352.44508348794062</v>
      </c>
      <c r="AV76" s="176">
        <f>AV75/AY75</f>
        <v>160.06117810760668</v>
      </c>
      <c r="AW76" s="174">
        <f t="shared" si="8"/>
        <v>0.83198860310391343</v>
      </c>
      <c r="AX76" s="178"/>
      <c r="BB76" s="155"/>
    </row>
  </sheetData>
  <mergeCells count="5">
    <mergeCell ref="AT69:AV69"/>
    <mergeCell ref="AS71:AS72"/>
    <mergeCell ref="AX71:AX72"/>
    <mergeCell ref="AS73:AS74"/>
    <mergeCell ref="AX73:AX74"/>
  </mergeCells>
  <printOptions horizontalCentered="1"/>
  <pageMargins left="0.35433070866141736" right="0.35433070866141736" top="0.78740157480314965" bottom="0.78740157480314965" header="0.51181102362204722" footer="0.51181102362204722"/>
  <pageSetup scale="55" orientation="landscape"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2:AI100"/>
  <sheetViews>
    <sheetView topLeftCell="D1" workbookViewId="0">
      <selection activeCell="H101" sqref="H101"/>
    </sheetView>
  </sheetViews>
  <sheetFormatPr baseColWidth="10" defaultRowHeight="15" x14ac:dyDescent="0.25"/>
  <cols>
    <col min="1" max="1" width="3.5703125" customWidth="1"/>
    <col min="2" max="2" width="10.42578125" customWidth="1"/>
    <col min="4" max="4" width="27.42578125" customWidth="1"/>
    <col min="5" max="5" width="49.5703125" customWidth="1"/>
    <col min="6" max="6" width="15.7109375" customWidth="1"/>
    <col min="7" max="7" width="7.85546875" customWidth="1"/>
    <col min="8" max="8" width="10.140625" customWidth="1"/>
    <col min="9" max="9" width="9.42578125" customWidth="1"/>
    <col min="10" max="10" width="6.140625" customWidth="1"/>
    <col min="11" max="11" width="9.7109375" customWidth="1"/>
    <col min="12" max="12" width="10" customWidth="1"/>
    <col min="14" max="14" width="7.7109375" customWidth="1"/>
    <col min="15" max="15" width="8" customWidth="1"/>
  </cols>
  <sheetData>
    <row r="2" spans="1:35" ht="19.5" thickBot="1" x14ac:dyDescent="0.3">
      <c r="B2" s="284" t="s">
        <v>679</v>
      </c>
      <c r="C2" s="284"/>
      <c r="D2" s="284"/>
      <c r="E2" s="284"/>
      <c r="F2" s="284"/>
      <c r="G2" s="284"/>
      <c r="H2" s="284"/>
      <c r="I2" s="284"/>
      <c r="J2" s="284"/>
      <c r="K2" s="284"/>
      <c r="L2" s="284"/>
      <c r="M2" s="284"/>
      <c r="N2" s="284"/>
      <c r="O2" s="284"/>
      <c r="P2" s="96"/>
      <c r="Q2" s="96"/>
      <c r="R2" s="96"/>
      <c r="S2" s="96"/>
      <c r="T2" s="96"/>
      <c r="U2" s="96"/>
      <c r="V2" s="96"/>
      <c r="W2" s="96"/>
      <c r="X2" s="96"/>
      <c r="Y2" s="96"/>
      <c r="Z2" s="96"/>
      <c r="AA2" s="96"/>
      <c r="AB2" s="96"/>
      <c r="AC2" s="96"/>
      <c r="AD2" s="96"/>
      <c r="AE2" s="96"/>
      <c r="AF2" s="96"/>
      <c r="AG2" s="96"/>
      <c r="AH2" s="96"/>
      <c r="AI2" s="96"/>
    </row>
    <row r="3" spans="1:35" ht="30.75" customHeight="1" thickBot="1" x14ac:dyDescent="0.3">
      <c r="B3" s="65" t="s">
        <v>325</v>
      </c>
      <c r="C3" s="66" t="s">
        <v>326</v>
      </c>
      <c r="D3" s="66" t="s">
        <v>607</v>
      </c>
      <c r="E3" s="67" t="s">
        <v>327</v>
      </c>
      <c r="F3" s="67"/>
      <c r="G3" s="66" t="s">
        <v>322</v>
      </c>
      <c r="H3" s="66" t="s">
        <v>7</v>
      </c>
      <c r="I3" s="66" t="s">
        <v>8</v>
      </c>
      <c r="J3" s="67" t="s">
        <v>328</v>
      </c>
      <c r="K3" s="66" t="s">
        <v>329</v>
      </c>
      <c r="L3" s="67" t="s">
        <v>330</v>
      </c>
      <c r="M3" s="67" t="s">
        <v>331</v>
      </c>
      <c r="N3" s="67" t="s">
        <v>332</v>
      </c>
      <c r="O3" s="68" t="s">
        <v>333</v>
      </c>
      <c r="P3" s="97"/>
      <c r="Q3" s="97"/>
      <c r="R3" s="97"/>
      <c r="S3" s="97"/>
      <c r="T3" s="97"/>
      <c r="U3" s="97"/>
      <c r="V3" s="97"/>
      <c r="W3" s="97"/>
      <c r="X3" s="97"/>
      <c r="Y3" s="97"/>
      <c r="Z3" s="97"/>
      <c r="AA3" s="97"/>
      <c r="AB3" s="97"/>
      <c r="AC3" s="97"/>
      <c r="AD3" s="97"/>
      <c r="AE3" s="97"/>
      <c r="AF3" s="97"/>
      <c r="AG3" s="97"/>
      <c r="AH3" s="97"/>
      <c r="AI3" s="97"/>
    </row>
    <row r="4" spans="1:35" ht="66.75" customHeight="1" thickTop="1" x14ac:dyDescent="0.25">
      <c r="A4" s="1">
        <v>1</v>
      </c>
      <c r="B4" s="69" t="s">
        <v>334</v>
      </c>
      <c r="C4" s="70" t="s">
        <v>343</v>
      </c>
      <c r="D4" s="71" t="s">
        <v>608</v>
      </c>
      <c r="E4" s="71" t="s">
        <v>344</v>
      </c>
      <c r="F4" s="71" t="s">
        <v>830</v>
      </c>
      <c r="G4" s="70" t="s">
        <v>60</v>
      </c>
      <c r="H4" s="70" t="s">
        <v>75</v>
      </c>
      <c r="I4" s="70" t="s">
        <v>81</v>
      </c>
      <c r="J4" s="72" t="s">
        <v>342</v>
      </c>
      <c r="K4" s="70" t="s">
        <v>336</v>
      </c>
      <c r="L4" s="70">
        <v>32003.200000000001</v>
      </c>
      <c r="M4" s="70">
        <v>8000.8</v>
      </c>
      <c r="N4" s="70">
        <v>0</v>
      </c>
      <c r="O4" s="73">
        <v>40004</v>
      </c>
    </row>
    <row r="5" spans="1:35" ht="66.75" customHeight="1" x14ac:dyDescent="0.25">
      <c r="A5" s="1">
        <v>2</v>
      </c>
      <c r="B5" s="74" t="s">
        <v>334</v>
      </c>
      <c r="C5" s="75" t="s">
        <v>345</v>
      </c>
      <c r="D5" s="76" t="s">
        <v>615</v>
      </c>
      <c r="E5" s="76" t="s">
        <v>346</v>
      </c>
      <c r="F5" s="71" t="s">
        <v>830</v>
      </c>
      <c r="G5" s="75" t="s">
        <v>60</v>
      </c>
      <c r="H5" s="75" t="s">
        <v>75</v>
      </c>
      <c r="I5" s="75" t="s">
        <v>81</v>
      </c>
      <c r="J5" s="77" t="s">
        <v>342</v>
      </c>
      <c r="K5" s="75" t="s">
        <v>336</v>
      </c>
      <c r="L5" s="75">
        <v>32003.200000000001</v>
      </c>
      <c r="M5" s="75">
        <v>8000.8</v>
      </c>
      <c r="N5" s="75">
        <v>0</v>
      </c>
      <c r="O5" s="78">
        <v>40004</v>
      </c>
    </row>
    <row r="6" spans="1:35" ht="66.75" customHeight="1" x14ac:dyDescent="0.25">
      <c r="A6" s="1">
        <v>3</v>
      </c>
      <c r="B6" s="69" t="s">
        <v>334</v>
      </c>
      <c r="C6" s="70" t="s">
        <v>347</v>
      </c>
      <c r="D6" s="71" t="s">
        <v>616</v>
      </c>
      <c r="E6" s="71" t="s">
        <v>348</v>
      </c>
      <c r="F6" s="71" t="s">
        <v>803</v>
      </c>
      <c r="G6" s="70" t="s">
        <v>60</v>
      </c>
      <c r="H6" s="70" t="s">
        <v>75</v>
      </c>
      <c r="I6" s="70" t="s">
        <v>81</v>
      </c>
      <c r="J6" s="72" t="s">
        <v>342</v>
      </c>
      <c r="K6" s="70" t="s">
        <v>336</v>
      </c>
      <c r="L6" s="70">
        <v>33432</v>
      </c>
      <c r="M6" s="70">
        <v>8358</v>
      </c>
      <c r="N6" s="70">
        <v>0</v>
      </c>
      <c r="O6" s="73">
        <v>41790</v>
      </c>
    </row>
    <row r="7" spans="1:35" ht="66.75" customHeight="1" x14ac:dyDescent="0.25">
      <c r="A7" s="1">
        <v>4</v>
      </c>
      <c r="B7" s="74" t="s">
        <v>334</v>
      </c>
      <c r="C7" s="75" t="s">
        <v>349</v>
      </c>
      <c r="D7" s="76" t="s">
        <v>609</v>
      </c>
      <c r="E7" s="76" t="s">
        <v>350</v>
      </c>
      <c r="F7" s="76" t="s">
        <v>803</v>
      </c>
      <c r="G7" s="75" t="s">
        <v>60</v>
      </c>
      <c r="H7" s="75" t="s">
        <v>75</v>
      </c>
      <c r="I7" s="75" t="s">
        <v>81</v>
      </c>
      <c r="J7" s="77" t="s">
        <v>342</v>
      </c>
      <c r="K7" s="75" t="s">
        <v>336</v>
      </c>
      <c r="L7" s="75">
        <v>33432</v>
      </c>
      <c r="M7" s="75">
        <v>8358</v>
      </c>
      <c r="N7" s="75">
        <v>0</v>
      </c>
      <c r="O7" s="78">
        <v>41790</v>
      </c>
    </row>
    <row r="8" spans="1:35" ht="66.75" customHeight="1" x14ac:dyDescent="0.25">
      <c r="A8" s="1">
        <v>5</v>
      </c>
      <c r="B8" s="69" t="s">
        <v>337</v>
      </c>
      <c r="C8" s="70" t="s">
        <v>351</v>
      </c>
      <c r="D8" s="71" t="s">
        <v>617</v>
      </c>
      <c r="E8" s="71" t="s">
        <v>352</v>
      </c>
      <c r="F8" s="71" t="s">
        <v>70</v>
      </c>
      <c r="G8" s="70" t="s">
        <v>60</v>
      </c>
      <c r="H8" s="70" t="s">
        <v>75</v>
      </c>
      <c r="I8" s="70" t="s">
        <v>81</v>
      </c>
      <c r="J8" s="72" t="s">
        <v>342</v>
      </c>
      <c r="K8" s="70" t="s">
        <v>336</v>
      </c>
      <c r="L8" s="70">
        <v>33664</v>
      </c>
      <c r="M8" s="70">
        <v>8416</v>
      </c>
      <c r="N8" s="70">
        <v>0</v>
      </c>
      <c r="O8" s="73">
        <v>42080</v>
      </c>
    </row>
    <row r="9" spans="1:35" ht="66.75" customHeight="1" x14ac:dyDescent="0.25">
      <c r="A9" s="1">
        <v>6</v>
      </c>
      <c r="B9" s="74" t="s">
        <v>337</v>
      </c>
      <c r="C9" s="75" t="s">
        <v>353</v>
      </c>
      <c r="D9" s="76" t="s">
        <v>610</v>
      </c>
      <c r="E9" s="76" t="s">
        <v>354</v>
      </c>
      <c r="F9" s="76" t="s">
        <v>804</v>
      </c>
      <c r="G9" s="75" t="s">
        <v>60</v>
      </c>
      <c r="H9" s="75" t="s">
        <v>75</v>
      </c>
      <c r="I9" s="75" t="s">
        <v>81</v>
      </c>
      <c r="J9" s="77" t="s">
        <v>342</v>
      </c>
      <c r="K9" s="75" t="s">
        <v>336</v>
      </c>
      <c r="L9" s="75">
        <v>33664</v>
      </c>
      <c r="M9" s="75">
        <v>8416</v>
      </c>
      <c r="N9" s="75">
        <v>0</v>
      </c>
      <c r="O9" s="78">
        <v>42080</v>
      </c>
    </row>
    <row r="10" spans="1:35" ht="66.75" customHeight="1" x14ac:dyDescent="0.25">
      <c r="A10" s="1">
        <v>7</v>
      </c>
      <c r="B10" s="69" t="s">
        <v>337</v>
      </c>
      <c r="C10" s="70" t="s">
        <v>355</v>
      </c>
      <c r="D10" s="71" t="s">
        <v>611</v>
      </c>
      <c r="E10" s="71" t="s">
        <v>356</v>
      </c>
      <c r="F10" s="71" t="s">
        <v>830</v>
      </c>
      <c r="G10" s="70" t="s">
        <v>60</v>
      </c>
      <c r="H10" s="70" t="s">
        <v>75</v>
      </c>
      <c r="I10" s="70" t="s">
        <v>81</v>
      </c>
      <c r="J10" s="72" t="s">
        <v>342</v>
      </c>
      <c r="K10" s="70" t="s">
        <v>336</v>
      </c>
      <c r="L10" s="70">
        <v>33600</v>
      </c>
      <c r="M10" s="70">
        <v>8400</v>
      </c>
      <c r="N10" s="70">
        <v>0</v>
      </c>
      <c r="O10" s="73">
        <v>42000</v>
      </c>
    </row>
    <row r="11" spans="1:35" ht="66.75" customHeight="1" x14ac:dyDescent="0.25">
      <c r="A11" s="1">
        <v>8</v>
      </c>
      <c r="B11" s="74" t="s">
        <v>337</v>
      </c>
      <c r="C11" s="75" t="s">
        <v>357</v>
      </c>
      <c r="D11" s="76" t="s">
        <v>618</v>
      </c>
      <c r="E11" s="76" t="s">
        <v>358</v>
      </c>
      <c r="F11" s="71" t="s">
        <v>830</v>
      </c>
      <c r="G11" s="75" t="s">
        <v>60</v>
      </c>
      <c r="H11" s="75" t="s">
        <v>75</v>
      </c>
      <c r="I11" s="75" t="s">
        <v>81</v>
      </c>
      <c r="J11" s="77" t="s">
        <v>342</v>
      </c>
      <c r="K11" s="75" t="s">
        <v>336</v>
      </c>
      <c r="L11" s="75">
        <v>33650</v>
      </c>
      <c r="M11" s="75">
        <v>8413</v>
      </c>
      <c r="N11" s="75">
        <v>0</v>
      </c>
      <c r="O11" s="78">
        <v>42063</v>
      </c>
    </row>
    <row r="12" spans="1:35" ht="66.75" customHeight="1" x14ac:dyDescent="0.25">
      <c r="A12" s="1">
        <v>9</v>
      </c>
      <c r="B12" s="69" t="s">
        <v>337</v>
      </c>
      <c r="C12" s="70" t="s">
        <v>359</v>
      </c>
      <c r="D12" s="71" t="s">
        <v>612</v>
      </c>
      <c r="E12" s="71" t="s">
        <v>360</v>
      </c>
      <c r="F12" s="71" t="s">
        <v>830</v>
      </c>
      <c r="G12" s="70" t="s">
        <v>60</v>
      </c>
      <c r="H12" s="70" t="s">
        <v>75</v>
      </c>
      <c r="I12" s="70" t="s">
        <v>81</v>
      </c>
      <c r="J12" s="72" t="s">
        <v>342</v>
      </c>
      <c r="K12" s="70" t="s">
        <v>336</v>
      </c>
      <c r="L12" s="70">
        <v>33650</v>
      </c>
      <c r="M12" s="70">
        <v>8412</v>
      </c>
      <c r="N12" s="70">
        <v>0</v>
      </c>
      <c r="O12" s="73">
        <v>42062</v>
      </c>
    </row>
    <row r="13" spans="1:35" ht="66.75" customHeight="1" x14ac:dyDescent="0.25">
      <c r="A13" s="1">
        <v>10</v>
      </c>
      <c r="B13" s="74" t="s">
        <v>337</v>
      </c>
      <c r="C13" s="75" t="s">
        <v>361</v>
      </c>
      <c r="D13" s="76" t="s">
        <v>619</v>
      </c>
      <c r="E13" s="76" t="s">
        <v>362</v>
      </c>
      <c r="F13" s="71" t="s">
        <v>830</v>
      </c>
      <c r="G13" s="75" t="s">
        <v>60</v>
      </c>
      <c r="H13" s="75" t="s">
        <v>75</v>
      </c>
      <c r="I13" s="75" t="s">
        <v>81</v>
      </c>
      <c r="J13" s="77" t="s">
        <v>342</v>
      </c>
      <c r="K13" s="75" t="s">
        <v>336</v>
      </c>
      <c r="L13" s="75">
        <v>33650</v>
      </c>
      <c r="M13" s="75">
        <v>8413</v>
      </c>
      <c r="N13" s="75">
        <v>0</v>
      </c>
      <c r="O13" s="78">
        <v>42063</v>
      </c>
    </row>
    <row r="14" spans="1:35" ht="66.75" customHeight="1" x14ac:dyDescent="0.25">
      <c r="A14" s="1">
        <v>11</v>
      </c>
      <c r="B14" s="69" t="s">
        <v>339</v>
      </c>
      <c r="C14" s="70" t="s">
        <v>363</v>
      </c>
      <c r="D14" s="71" t="s">
        <v>620</v>
      </c>
      <c r="E14" s="71" t="s">
        <v>364</v>
      </c>
      <c r="F14" s="71" t="s">
        <v>805</v>
      </c>
      <c r="G14" s="70" t="s">
        <v>60</v>
      </c>
      <c r="H14" s="70" t="s">
        <v>75</v>
      </c>
      <c r="I14" s="70" t="s">
        <v>81</v>
      </c>
      <c r="J14" s="72" t="s">
        <v>342</v>
      </c>
      <c r="K14" s="70" t="s">
        <v>336</v>
      </c>
      <c r="L14" s="70">
        <v>39518.400000000001</v>
      </c>
      <c r="M14" s="70">
        <v>9879.6</v>
      </c>
      <c r="N14" s="70">
        <v>0</v>
      </c>
      <c r="O14" s="73">
        <v>49398</v>
      </c>
    </row>
    <row r="15" spans="1:35" ht="66.75" customHeight="1" x14ac:dyDescent="0.25">
      <c r="A15" s="1">
        <v>12</v>
      </c>
      <c r="B15" s="74" t="s">
        <v>339</v>
      </c>
      <c r="C15" s="75" t="s">
        <v>365</v>
      </c>
      <c r="D15" s="76" t="s">
        <v>621</v>
      </c>
      <c r="E15" s="76" t="s">
        <v>366</v>
      </c>
      <c r="F15" s="76" t="s">
        <v>803</v>
      </c>
      <c r="G15" s="75" t="s">
        <v>60</v>
      </c>
      <c r="H15" s="75" t="s">
        <v>75</v>
      </c>
      <c r="I15" s="75" t="s">
        <v>81</v>
      </c>
      <c r="J15" s="77" t="s">
        <v>342</v>
      </c>
      <c r="K15" s="75" t="s">
        <v>336</v>
      </c>
      <c r="L15" s="75">
        <v>39518.400000000001</v>
      </c>
      <c r="M15" s="75">
        <v>9879.6</v>
      </c>
      <c r="N15" s="75">
        <v>0</v>
      </c>
      <c r="O15" s="78">
        <v>49398</v>
      </c>
    </row>
    <row r="16" spans="1:35" ht="66.75" customHeight="1" x14ac:dyDescent="0.25">
      <c r="A16" s="1">
        <v>13</v>
      </c>
      <c r="B16" s="69" t="s">
        <v>339</v>
      </c>
      <c r="C16" s="70" t="s">
        <v>367</v>
      </c>
      <c r="D16" s="71" t="s">
        <v>622</v>
      </c>
      <c r="E16" s="71" t="s">
        <v>368</v>
      </c>
      <c r="F16" s="71" t="s">
        <v>830</v>
      </c>
      <c r="G16" s="70" t="s">
        <v>60</v>
      </c>
      <c r="H16" s="70" t="s">
        <v>75</v>
      </c>
      <c r="I16" s="70" t="s">
        <v>81</v>
      </c>
      <c r="J16" s="72" t="s">
        <v>342</v>
      </c>
      <c r="K16" s="70" t="s">
        <v>336</v>
      </c>
      <c r="L16" s="70">
        <v>39518.400000000001</v>
      </c>
      <c r="M16" s="70">
        <v>9879.6</v>
      </c>
      <c r="N16" s="70">
        <v>0</v>
      </c>
      <c r="O16" s="73">
        <v>49398</v>
      </c>
    </row>
    <row r="17" spans="1:15" ht="66.75" customHeight="1" x14ac:dyDescent="0.25">
      <c r="A17" s="1">
        <v>14</v>
      </c>
      <c r="B17" s="74" t="s">
        <v>339</v>
      </c>
      <c r="C17" s="75" t="s">
        <v>369</v>
      </c>
      <c r="D17" s="76" t="s">
        <v>613</v>
      </c>
      <c r="E17" s="76" t="s">
        <v>370</v>
      </c>
      <c r="F17" s="76" t="s">
        <v>806</v>
      </c>
      <c r="G17" s="75" t="s">
        <v>60</v>
      </c>
      <c r="H17" s="75" t="s">
        <v>75</v>
      </c>
      <c r="I17" s="75" t="s">
        <v>81</v>
      </c>
      <c r="J17" s="77" t="s">
        <v>342</v>
      </c>
      <c r="K17" s="75" t="s">
        <v>336</v>
      </c>
      <c r="L17" s="75">
        <v>39518.400000000001</v>
      </c>
      <c r="M17" s="75">
        <v>9879.6</v>
      </c>
      <c r="N17" s="75">
        <v>0</v>
      </c>
      <c r="O17" s="78">
        <v>49398</v>
      </c>
    </row>
    <row r="18" spans="1:15" ht="66.75" customHeight="1" x14ac:dyDescent="0.25">
      <c r="A18" s="1">
        <v>15</v>
      </c>
      <c r="B18" s="69" t="s">
        <v>340</v>
      </c>
      <c r="C18" s="70" t="s">
        <v>371</v>
      </c>
      <c r="D18" s="71" t="s">
        <v>623</v>
      </c>
      <c r="E18" s="71" t="s">
        <v>372</v>
      </c>
      <c r="F18" s="71" t="s">
        <v>803</v>
      </c>
      <c r="G18" s="70" t="s">
        <v>60</v>
      </c>
      <c r="H18" s="70" t="s">
        <v>75</v>
      </c>
      <c r="I18" s="70" t="s">
        <v>81</v>
      </c>
      <c r="J18" s="72" t="s">
        <v>342</v>
      </c>
      <c r="K18" s="70" t="s">
        <v>336</v>
      </c>
      <c r="L18" s="70">
        <v>39518.400000000001</v>
      </c>
      <c r="M18" s="70">
        <v>9879.6</v>
      </c>
      <c r="N18" s="70">
        <v>0</v>
      </c>
      <c r="O18" s="73">
        <v>49398</v>
      </c>
    </row>
    <row r="19" spans="1:15" ht="66.75" customHeight="1" x14ac:dyDescent="0.25">
      <c r="A19" s="1">
        <v>16</v>
      </c>
      <c r="B19" s="74" t="s">
        <v>340</v>
      </c>
      <c r="C19" s="75" t="s">
        <v>373</v>
      </c>
      <c r="D19" s="76" t="s">
        <v>624</v>
      </c>
      <c r="E19" s="76" t="s">
        <v>374</v>
      </c>
      <c r="F19" s="71" t="s">
        <v>805</v>
      </c>
      <c r="G19" s="75" t="s">
        <v>60</v>
      </c>
      <c r="H19" s="75" t="s">
        <v>75</v>
      </c>
      <c r="I19" s="75" t="s">
        <v>81</v>
      </c>
      <c r="J19" s="77" t="s">
        <v>342</v>
      </c>
      <c r="K19" s="75" t="s">
        <v>336</v>
      </c>
      <c r="L19" s="75">
        <v>39518.400000000001</v>
      </c>
      <c r="M19" s="75">
        <v>9879.6</v>
      </c>
      <c r="N19" s="75">
        <v>0</v>
      </c>
      <c r="O19" s="78">
        <v>49398</v>
      </c>
    </row>
    <row r="20" spans="1:15" ht="66.75" customHeight="1" x14ac:dyDescent="0.25">
      <c r="A20" s="1">
        <v>17</v>
      </c>
      <c r="B20" s="69" t="s">
        <v>340</v>
      </c>
      <c r="C20" s="70" t="s">
        <v>375</v>
      </c>
      <c r="D20" s="71" t="s">
        <v>625</v>
      </c>
      <c r="E20" s="71" t="s">
        <v>376</v>
      </c>
      <c r="F20" s="71" t="s">
        <v>808</v>
      </c>
      <c r="G20" s="70" t="s">
        <v>60</v>
      </c>
      <c r="H20" s="70" t="s">
        <v>75</v>
      </c>
      <c r="I20" s="70" t="s">
        <v>81</v>
      </c>
      <c r="J20" s="72" t="s">
        <v>342</v>
      </c>
      <c r="K20" s="70" t="s">
        <v>336</v>
      </c>
      <c r="L20" s="70">
        <v>39518.400000000001</v>
      </c>
      <c r="M20" s="70">
        <v>9879.6</v>
      </c>
      <c r="N20" s="70">
        <v>0</v>
      </c>
      <c r="O20" s="73">
        <v>49398</v>
      </c>
    </row>
    <row r="21" spans="1:15" ht="66.75" customHeight="1" x14ac:dyDescent="0.25">
      <c r="A21" s="1">
        <v>18</v>
      </c>
      <c r="B21" s="74" t="s">
        <v>340</v>
      </c>
      <c r="C21" s="75" t="s">
        <v>377</v>
      </c>
      <c r="D21" s="76" t="s">
        <v>614</v>
      </c>
      <c r="E21" s="76" t="s">
        <v>378</v>
      </c>
      <c r="F21" s="76" t="s">
        <v>803</v>
      </c>
      <c r="G21" s="75" t="s">
        <v>60</v>
      </c>
      <c r="H21" s="75" t="s">
        <v>75</v>
      </c>
      <c r="I21" s="75" t="s">
        <v>81</v>
      </c>
      <c r="J21" s="77" t="s">
        <v>342</v>
      </c>
      <c r="K21" s="75" t="s">
        <v>336</v>
      </c>
      <c r="L21" s="75">
        <v>39518.400000000001</v>
      </c>
      <c r="M21" s="75">
        <v>9879.6</v>
      </c>
      <c r="N21" s="75">
        <v>0</v>
      </c>
      <c r="O21" s="78">
        <v>49398</v>
      </c>
    </row>
    <row r="22" spans="1:15" ht="66.75" customHeight="1" x14ac:dyDescent="0.25">
      <c r="A22" s="1">
        <v>19</v>
      </c>
      <c r="B22" s="69" t="s">
        <v>340</v>
      </c>
      <c r="C22" s="70" t="s">
        <v>379</v>
      </c>
      <c r="D22" s="71" t="s">
        <v>626</v>
      </c>
      <c r="E22" s="71" t="s">
        <v>380</v>
      </c>
      <c r="F22" s="71" t="s">
        <v>806</v>
      </c>
      <c r="G22" s="70" t="s">
        <v>60</v>
      </c>
      <c r="H22" s="70" t="s">
        <v>75</v>
      </c>
      <c r="I22" s="70" t="s">
        <v>81</v>
      </c>
      <c r="J22" s="72" t="s">
        <v>342</v>
      </c>
      <c r="K22" s="70" t="s">
        <v>336</v>
      </c>
      <c r="L22" s="70">
        <v>39518.400000000001</v>
      </c>
      <c r="M22" s="70">
        <v>9879.6</v>
      </c>
      <c r="N22" s="70">
        <v>0</v>
      </c>
      <c r="O22" s="73">
        <v>49398</v>
      </c>
    </row>
    <row r="23" spans="1:15" ht="66.75" customHeight="1" x14ac:dyDescent="0.25">
      <c r="A23" s="1">
        <v>20</v>
      </c>
      <c r="B23" s="74" t="s">
        <v>340</v>
      </c>
      <c r="C23" s="75" t="s">
        <v>381</v>
      </c>
      <c r="D23" s="76" t="s">
        <v>627</v>
      </c>
      <c r="E23" s="76" t="s">
        <v>382</v>
      </c>
      <c r="F23" s="76" t="s">
        <v>806</v>
      </c>
      <c r="G23" s="75" t="s">
        <v>60</v>
      </c>
      <c r="H23" s="75" t="s">
        <v>75</v>
      </c>
      <c r="I23" s="75" t="s">
        <v>81</v>
      </c>
      <c r="J23" s="77" t="s">
        <v>342</v>
      </c>
      <c r="K23" s="75" t="s">
        <v>336</v>
      </c>
      <c r="L23" s="75">
        <v>39518.400000000001</v>
      </c>
      <c r="M23" s="75">
        <v>9879.6</v>
      </c>
      <c r="N23" s="75">
        <v>0</v>
      </c>
      <c r="O23" s="78">
        <v>49398</v>
      </c>
    </row>
    <row r="24" spans="1:15" ht="66.75" customHeight="1" x14ac:dyDescent="0.25">
      <c r="A24" s="1">
        <v>21</v>
      </c>
      <c r="B24" s="69" t="s">
        <v>340</v>
      </c>
      <c r="C24" s="70" t="s">
        <v>383</v>
      </c>
      <c r="D24" s="71" t="s">
        <v>628</v>
      </c>
      <c r="E24" s="71" t="s">
        <v>384</v>
      </c>
      <c r="F24" s="71" t="s">
        <v>803</v>
      </c>
      <c r="G24" s="70" t="s">
        <v>60</v>
      </c>
      <c r="H24" s="70" t="s">
        <v>75</v>
      </c>
      <c r="I24" s="70" t="s">
        <v>81</v>
      </c>
      <c r="J24" s="72" t="s">
        <v>342</v>
      </c>
      <c r="K24" s="70" t="s">
        <v>336</v>
      </c>
      <c r="L24" s="70">
        <v>39518.400000000001</v>
      </c>
      <c r="M24" s="70">
        <v>9879.6</v>
      </c>
      <c r="N24" s="70">
        <v>0</v>
      </c>
      <c r="O24" s="73">
        <v>49398</v>
      </c>
    </row>
    <row r="25" spans="1:15" ht="66.75" customHeight="1" x14ac:dyDescent="0.25">
      <c r="A25" s="1">
        <v>22</v>
      </c>
      <c r="B25" s="74" t="s">
        <v>340</v>
      </c>
      <c r="C25" s="75" t="s">
        <v>385</v>
      </c>
      <c r="D25" s="76" t="s">
        <v>629</v>
      </c>
      <c r="E25" s="76" t="s">
        <v>386</v>
      </c>
      <c r="F25" s="76" t="s">
        <v>803</v>
      </c>
      <c r="G25" s="75" t="s">
        <v>60</v>
      </c>
      <c r="H25" s="75" t="s">
        <v>75</v>
      </c>
      <c r="I25" s="75" t="s">
        <v>81</v>
      </c>
      <c r="J25" s="77" t="s">
        <v>342</v>
      </c>
      <c r="K25" s="75" t="s">
        <v>336</v>
      </c>
      <c r="L25" s="75">
        <v>39518.400000000001</v>
      </c>
      <c r="M25" s="75">
        <v>9879.6</v>
      </c>
      <c r="N25" s="75">
        <v>0</v>
      </c>
      <c r="O25" s="78">
        <v>49398</v>
      </c>
    </row>
    <row r="26" spans="1:15" ht="66.75" customHeight="1" x14ac:dyDescent="0.25">
      <c r="A26" s="1">
        <v>23</v>
      </c>
      <c r="B26" s="69" t="s">
        <v>340</v>
      </c>
      <c r="C26" s="70" t="s">
        <v>387</v>
      </c>
      <c r="D26" s="71" t="s">
        <v>630</v>
      </c>
      <c r="E26" s="71" t="s">
        <v>388</v>
      </c>
      <c r="F26" s="71" t="s">
        <v>803</v>
      </c>
      <c r="G26" s="70" t="s">
        <v>60</v>
      </c>
      <c r="H26" s="70" t="s">
        <v>75</v>
      </c>
      <c r="I26" s="70" t="s">
        <v>81</v>
      </c>
      <c r="J26" s="72" t="s">
        <v>342</v>
      </c>
      <c r="K26" s="70" t="s">
        <v>336</v>
      </c>
      <c r="L26" s="70">
        <v>39518.400000000001</v>
      </c>
      <c r="M26" s="70">
        <v>9879.6</v>
      </c>
      <c r="N26" s="70">
        <v>0</v>
      </c>
      <c r="O26" s="73">
        <v>49398</v>
      </c>
    </row>
    <row r="27" spans="1:15" ht="66.75" customHeight="1" x14ac:dyDescent="0.25">
      <c r="A27" s="1">
        <v>24</v>
      </c>
      <c r="B27" s="74" t="s">
        <v>340</v>
      </c>
      <c r="C27" s="75" t="s">
        <v>389</v>
      </c>
      <c r="D27" s="76" t="s">
        <v>631</v>
      </c>
      <c r="E27" s="76" t="s">
        <v>390</v>
      </c>
      <c r="F27" s="76" t="s">
        <v>803</v>
      </c>
      <c r="G27" s="75" t="s">
        <v>60</v>
      </c>
      <c r="H27" s="75" t="s">
        <v>75</v>
      </c>
      <c r="I27" s="75" t="s">
        <v>81</v>
      </c>
      <c r="J27" s="77" t="s">
        <v>342</v>
      </c>
      <c r="K27" s="75" t="s">
        <v>336</v>
      </c>
      <c r="L27" s="75">
        <v>39518.400000000001</v>
      </c>
      <c r="M27" s="75">
        <v>9879.6</v>
      </c>
      <c r="N27" s="75">
        <v>0</v>
      </c>
      <c r="O27" s="78">
        <v>49398</v>
      </c>
    </row>
    <row r="28" spans="1:15" ht="66.75" customHeight="1" x14ac:dyDescent="0.25">
      <c r="A28" s="1">
        <v>25</v>
      </c>
      <c r="B28" s="69" t="s">
        <v>341</v>
      </c>
      <c r="C28" s="70" t="s">
        <v>391</v>
      </c>
      <c r="D28" s="71" t="s">
        <v>632</v>
      </c>
      <c r="E28" s="71" t="s">
        <v>392</v>
      </c>
      <c r="F28" s="71" t="s">
        <v>70</v>
      </c>
      <c r="G28" s="70" t="s">
        <v>60</v>
      </c>
      <c r="H28" s="70" t="s">
        <v>75</v>
      </c>
      <c r="I28" s="70" t="s">
        <v>81</v>
      </c>
      <c r="J28" s="72" t="s">
        <v>342</v>
      </c>
      <c r="K28" s="70" t="s">
        <v>336</v>
      </c>
      <c r="L28" s="70">
        <v>39518.400000000001</v>
      </c>
      <c r="M28" s="70">
        <v>9879.6</v>
      </c>
      <c r="N28" s="70">
        <v>0</v>
      </c>
      <c r="O28" s="73">
        <v>49398</v>
      </c>
    </row>
    <row r="29" spans="1:15" ht="66.75" customHeight="1" x14ac:dyDescent="0.25">
      <c r="A29" s="1">
        <v>26</v>
      </c>
      <c r="B29" s="74" t="s">
        <v>334</v>
      </c>
      <c r="C29" s="75" t="s">
        <v>393</v>
      </c>
      <c r="D29" s="76" t="s">
        <v>633</v>
      </c>
      <c r="E29" s="76" t="s">
        <v>394</v>
      </c>
      <c r="F29" s="76" t="s">
        <v>809</v>
      </c>
      <c r="G29" s="75" t="s">
        <v>60</v>
      </c>
      <c r="H29" s="75" t="s">
        <v>75</v>
      </c>
      <c r="I29" s="75" t="s">
        <v>81</v>
      </c>
      <c r="J29" s="77" t="s">
        <v>335</v>
      </c>
      <c r="K29" s="75" t="s">
        <v>336</v>
      </c>
      <c r="L29" s="75">
        <v>57736.7</v>
      </c>
      <c r="M29" s="75">
        <v>24744.3</v>
      </c>
      <c r="N29" s="75">
        <v>0</v>
      </c>
      <c r="O29" s="78">
        <v>82481</v>
      </c>
    </row>
    <row r="30" spans="1:15" ht="66.75" customHeight="1" x14ac:dyDescent="0.25">
      <c r="A30" s="1">
        <v>27</v>
      </c>
      <c r="B30" s="69" t="s">
        <v>334</v>
      </c>
      <c r="C30" s="70" t="s">
        <v>395</v>
      </c>
      <c r="D30" s="71" t="s">
        <v>633</v>
      </c>
      <c r="E30" s="71" t="s">
        <v>396</v>
      </c>
      <c r="F30" s="71" t="s">
        <v>810</v>
      </c>
      <c r="G30" s="70" t="s">
        <v>60</v>
      </c>
      <c r="H30" s="70" t="s">
        <v>75</v>
      </c>
      <c r="I30" s="70" t="s">
        <v>81</v>
      </c>
      <c r="J30" s="72" t="s">
        <v>335</v>
      </c>
      <c r="K30" s="70" t="s">
        <v>336</v>
      </c>
      <c r="L30" s="70">
        <v>39284.699999999997</v>
      </c>
      <c r="M30" s="70">
        <v>16836.3</v>
      </c>
      <c r="N30" s="70">
        <v>0</v>
      </c>
      <c r="O30" s="73">
        <v>56121</v>
      </c>
    </row>
    <row r="31" spans="1:15" ht="66.75" customHeight="1" x14ac:dyDescent="0.25">
      <c r="A31" s="1">
        <v>28</v>
      </c>
      <c r="B31" s="74" t="s">
        <v>337</v>
      </c>
      <c r="C31" s="75" t="s">
        <v>397</v>
      </c>
      <c r="D31" s="76" t="s">
        <v>634</v>
      </c>
      <c r="E31" s="76" t="s">
        <v>398</v>
      </c>
      <c r="F31" s="76" t="s">
        <v>811</v>
      </c>
      <c r="G31" s="75" t="s">
        <v>60</v>
      </c>
      <c r="H31" s="75" t="s">
        <v>75</v>
      </c>
      <c r="I31" s="75" t="s">
        <v>81</v>
      </c>
      <c r="J31" s="77" t="s">
        <v>335</v>
      </c>
      <c r="K31" s="75" t="s">
        <v>336</v>
      </c>
      <c r="L31" s="75">
        <v>39795</v>
      </c>
      <c r="M31" s="75">
        <v>17055</v>
      </c>
      <c r="N31" s="75">
        <v>0</v>
      </c>
      <c r="O31" s="78">
        <v>56850</v>
      </c>
    </row>
    <row r="32" spans="1:15" ht="66.75" customHeight="1" x14ac:dyDescent="0.25">
      <c r="A32" s="1">
        <v>29</v>
      </c>
      <c r="B32" s="69" t="s">
        <v>339</v>
      </c>
      <c r="C32" s="70" t="s">
        <v>399</v>
      </c>
      <c r="D32" s="71" t="s">
        <v>635</v>
      </c>
      <c r="E32" s="71" t="s">
        <v>400</v>
      </c>
      <c r="F32" s="71" t="s">
        <v>805</v>
      </c>
      <c r="G32" s="70" t="s">
        <v>60</v>
      </c>
      <c r="H32" s="70" t="s">
        <v>75</v>
      </c>
      <c r="I32" s="70" t="s">
        <v>401</v>
      </c>
      <c r="J32" s="72" t="s">
        <v>342</v>
      </c>
      <c r="K32" s="70" t="s">
        <v>336</v>
      </c>
      <c r="L32" s="70">
        <v>39518.400000000001</v>
      </c>
      <c r="M32" s="70">
        <v>9879.6</v>
      </c>
      <c r="N32" s="70">
        <v>0</v>
      </c>
      <c r="O32" s="73">
        <v>49398</v>
      </c>
    </row>
    <row r="33" spans="1:15" ht="66.75" customHeight="1" x14ac:dyDescent="0.25">
      <c r="A33" s="1">
        <v>30</v>
      </c>
      <c r="B33" s="74" t="s">
        <v>337</v>
      </c>
      <c r="C33" s="75" t="s">
        <v>402</v>
      </c>
      <c r="D33" s="76" t="s">
        <v>636</v>
      </c>
      <c r="E33" s="76" t="s">
        <v>403</v>
      </c>
      <c r="F33" s="71" t="s">
        <v>805</v>
      </c>
      <c r="G33" s="75" t="s">
        <v>60</v>
      </c>
      <c r="H33" s="75" t="s">
        <v>100</v>
      </c>
      <c r="I33" s="75" t="s">
        <v>153</v>
      </c>
      <c r="J33" s="77" t="s">
        <v>335</v>
      </c>
      <c r="K33" s="75" t="s">
        <v>336</v>
      </c>
      <c r="L33" s="75">
        <v>31738</v>
      </c>
      <c r="M33" s="75">
        <v>13602</v>
      </c>
      <c r="N33" s="75">
        <v>0</v>
      </c>
      <c r="O33" s="78">
        <v>45340</v>
      </c>
    </row>
    <row r="34" spans="1:15" ht="66.75" customHeight="1" x14ac:dyDescent="0.25">
      <c r="A34" s="1">
        <v>31</v>
      </c>
      <c r="B34" s="69" t="s">
        <v>337</v>
      </c>
      <c r="C34" s="70" t="s">
        <v>404</v>
      </c>
      <c r="D34" s="71" t="s">
        <v>637</v>
      </c>
      <c r="E34" s="71" t="s">
        <v>405</v>
      </c>
      <c r="F34" s="71" t="s">
        <v>806</v>
      </c>
      <c r="G34" s="70" t="s">
        <v>60</v>
      </c>
      <c r="H34" s="70" t="s">
        <v>100</v>
      </c>
      <c r="I34" s="70" t="s">
        <v>153</v>
      </c>
      <c r="J34" s="72" t="s">
        <v>335</v>
      </c>
      <c r="K34" s="70" t="s">
        <v>336</v>
      </c>
      <c r="L34" s="70">
        <v>19670</v>
      </c>
      <c r="M34" s="70">
        <v>8430</v>
      </c>
      <c r="N34" s="70">
        <v>0</v>
      </c>
      <c r="O34" s="73">
        <v>28100</v>
      </c>
    </row>
    <row r="35" spans="1:15" ht="66.75" customHeight="1" x14ac:dyDescent="0.25">
      <c r="A35" s="1">
        <v>32</v>
      </c>
      <c r="B35" s="74" t="s">
        <v>339</v>
      </c>
      <c r="C35" s="75" t="s">
        <v>406</v>
      </c>
      <c r="D35" s="76" t="s">
        <v>638</v>
      </c>
      <c r="E35" s="76" t="s">
        <v>407</v>
      </c>
      <c r="F35" s="76" t="s">
        <v>806</v>
      </c>
      <c r="G35" s="75" t="s">
        <v>60</v>
      </c>
      <c r="H35" s="75" t="s">
        <v>100</v>
      </c>
      <c r="I35" s="75" t="s">
        <v>153</v>
      </c>
      <c r="J35" s="77" t="s">
        <v>335</v>
      </c>
      <c r="K35" s="75" t="s">
        <v>336</v>
      </c>
      <c r="L35" s="75">
        <v>23100</v>
      </c>
      <c r="M35" s="75">
        <v>9900</v>
      </c>
      <c r="N35" s="75">
        <v>0</v>
      </c>
      <c r="O35" s="78">
        <v>33000</v>
      </c>
    </row>
    <row r="36" spans="1:15" ht="66.75" customHeight="1" x14ac:dyDescent="0.25">
      <c r="A36" s="1">
        <v>33</v>
      </c>
      <c r="B36" s="69" t="s">
        <v>339</v>
      </c>
      <c r="C36" s="70" t="s">
        <v>408</v>
      </c>
      <c r="D36" s="71" t="s">
        <v>639</v>
      </c>
      <c r="E36" s="71" t="s">
        <v>409</v>
      </c>
      <c r="F36" s="71" t="s">
        <v>805</v>
      </c>
      <c r="G36" s="70" t="s">
        <v>60</v>
      </c>
      <c r="H36" s="70" t="s">
        <v>100</v>
      </c>
      <c r="I36" s="70" t="s">
        <v>153</v>
      </c>
      <c r="J36" s="72" t="s">
        <v>335</v>
      </c>
      <c r="K36" s="70" t="s">
        <v>336</v>
      </c>
      <c r="L36" s="70">
        <v>41072.5</v>
      </c>
      <c r="M36" s="70">
        <v>17602.5</v>
      </c>
      <c r="N36" s="70">
        <v>0</v>
      </c>
      <c r="O36" s="73">
        <v>58675</v>
      </c>
    </row>
    <row r="37" spans="1:15" ht="66.75" customHeight="1" x14ac:dyDescent="0.25">
      <c r="A37" s="1">
        <v>34</v>
      </c>
      <c r="B37" s="74" t="s">
        <v>337</v>
      </c>
      <c r="C37" s="75" t="s">
        <v>410</v>
      </c>
      <c r="D37" s="76" t="s">
        <v>640</v>
      </c>
      <c r="E37" s="76" t="s">
        <v>411</v>
      </c>
      <c r="F37" s="76" t="s">
        <v>812</v>
      </c>
      <c r="G37" s="75" t="s">
        <v>60</v>
      </c>
      <c r="H37" s="75" t="s">
        <v>100</v>
      </c>
      <c r="I37" s="75" t="s">
        <v>115</v>
      </c>
      <c r="J37" s="77" t="s">
        <v>342</v>
      </c>
      <c r="K37" s="75" t="s">
        <v>336</v>
      </c>
      <c r="L37" s="75">
        <v>33650</v>
      </c>
      <c r="M37" s="75">
        <v>8413</v>
      </c>
      <c r="N37" s="75">
        <v>0</v>
      </c>
      <c r="O37" s="78">
        <v>42063</v>
      </c>
    </row>
    <row r="38" spans="1:15" ht="66.75" customHeight="1" x14ac:dyDescent="0.25">
      <c r="A38" s="1">
        <v>35</v>
      </c>
      <c r="B38" s="69" t="s">
        <v>337</v>
      </c>
      <c r="C38" s="70" t="s">
        <v>412</v>
      </c>
      <c r="D38" s="71" t="s">
        <v>641</v>
      </c>
      <c r="E38" s="71" t="s">
        <v>413</v>
      </c>
      <c r="F38" s="71" t="s">
        <v>806</v>
      </c>
      <c r="G38" s="70" t="s">
        <v>60</v>
      </c>
      <c r="H38" s="70" t="s">
        <v>100</v>
      </c>
      <c r="I38" s="70" t="s">
        <v>115</v>
      </c>
      <c r="J38" s="72" t="s">
        <v>342</v>
      </c>
      <c r="K38" s="70" t="s">
        <v>336</v>
      </c>
      <c r="L38" s="70">
        <v>33650</v>
      </c>
      <c r="M38" s="70">
        <v>8413</v>
      </c>
      <c r="N38" s="70">
        <v>0</v>
      </c>
      <c r="O38" s="73">
        <v>42063</v>
      </c>
    </row>
    <row r="39" spans="1:15" ht="66.75" customHeight="1" x14ac:dyDescent="0.25">
      <c r="A39" s="1">
        <v>36</v>
      </c>
      <c r="B39" s="74" t="s">
        <v>337</v>
      </c>
      <c r="C39" s="75" t="s">
        <v>414</v>
      </c>
      <c r="D39" s="76" t="s">
        <v>642</v>
      </c>
      <c r="E39" s="76" t="s">
        <v>415</v>
      </c>
      <c r="F39" s="76" t="s">
        <v>813</v>
      </c>
      <c r="G39" s="75" t="s">
        <v>60</v>
      </c>
      <c r="H39" s="75" t="s">
        <v>100</v>
      </c>
      <c r="I39" s="75" t="s">
        <v>115</v>
      </c>
      <c r="J39" s="77" t="s">
        <v>342</v>
      </c>
      <c r="K39" s="75" t="s">
        <v>336</v>
      </c>
      <c r="L39" s="75">
        <v>33650</v>
      </c>
      <c r="M39" s="75">
        <v>8413</v>
      </c>
      <c r="N39" s="75">
        <v>0</v>
      </c>
      <c r="O39" s="78">
        <v>42063</v>
      </c>
    </row>
    <row r="40" spans="1:15" ht="66.75" customHeight="1" x14ac:dyDescent="0.25">
      <c r="A40" s="1">
        <v>37</v>
      </c>
      <c r="B40" s="69" t="s">
        <v>339</v>
      </c>
      <c r="C40" s="70" t="s">
        <v>416</v>
      </c>
      <c r="D40" s="71" t="s">
        <v>643</v>
      </c>
      <c r="E40" s="71" t="s">
        <v>417</v>
      </c>
      <c r="F40" s="71" t="s">
        <v>812</v>
      </c>
      <c r="G40" s="70" t="s">
        <v>60</v>
      </c>
      <c r="H40" s="70" t="s">
        <v>100</v>
      </c>
      <c r="I40" s="70" t="s">
        <v>115</v>
      </c>
      <c r="J40" s="72" t="s">
        <v>342</v>
      </c>
      <c r="K40" s="70" t="s">
        <v>336</v>
      </c>
      <c r="L40" s="70">
        <v>39518.400000000001</v>
      </c>
      <c r="M40" s="70">
        <v>9879.6</v>
      </c>
      <c r="N40" s="70">
        <v>0</v>
      </c>
      <c r="O40" s="73">
        <v>49398</v>
      </c>
    </row>
    <row r="41" spans="1:15" ht="66.75" customHeight="1" x14ac:dyDescent="0.25">
      <c r="A41" s="1">
        <v>38</v>
      </c>
      <c r="B41" s="74" t="s">
        <v>339</v>
      </c>
      <c r="C41" s="75" t="s">
        <v>418</v>
      </c>
      <c r="D41" s="76" t="s">
        <v>644</v>
      </c>
      <c r="E41" s="76" t="s">
        <v>419</v>
      </c>
      <c r="F41" s="71" t="s">
        <v>830</v>
      </c>
      <c r="G41" s="75" t="s">
        <v>60</v>
      </c>
      <c r="H41" s="75" t="s">
        <v>100</v>
      </c>
      <c r="I41" s="75" t="s">
        <v>115</v>
      </c>
      <c r="J41" s="77" t="s">
        <v>342</v>
      </c>
      <c r="K41" s="75" t="s">
        <v>336</v>
      </c>
      <c r="L41" s="75">
        <v>39518.400000000001</v>
      </c>
      <c r="M41" s="75">
        <v>9879.6</v>
      </c>
      <c r="N41" s="75">
        <v>0</v>
      </c>
      <c r="O41" s="78">
        <v>49398</v>
      </c>
    </row>
    <row r="42" spans="1:15" ht="66.75" customHeight="1" x14ac:dyDescent="0.25">
      <c r="A42" s="1">
        <v>39</v>
      </c>
      <c r="B42" s="69" t="s">
        <v>339</v>
      </c>
      <c r="C42" s="70" t="s">
        <v>420</v>
      </c>
      <c r="D42" s="71" t="s">
        <v>645</v>
      </c>
      <c r="E42" s="71" t="s">
        <v>421</v>
      </c>
      <c r="F42" s="71" t="s">
        <v>814</v>
      </c>
      <c r="G42" s="70" t="s">
        <v>60</v>
      </c>
      <c r="H42" s="70" t="s">
        <v>100</v>
      </c>
      <c r="I42" s="70" t="s">
        <v>115</v>
      </c>
      <c r="J42" s="72" t="s">
        <v>342</v>
      </c>
      <c r="K42" s="70" t="s">
        <v>336</v>
      </c>
      <c r="L42" s="70">
        <v>39518.400000000001</v>
      </c>
      <c r="M42" s="70">
        <v>9879.6</v>
      </c>
      <c r="N42" s="70">
        <v>0</v>
      </c>
      <c r="O42" s="73">
        <v>49398</v>
      </c>
    </row>
    <row r="43" spans="1:15" ht="66.75" customHeight="1" x14ac:dyDescent="0.25">
      <c r="A43" s="1">
        <v>40</v>
      </c>
      <c r="B43" s="74" t="s">
        <v>339</v>
      </c>
      <c r="C43" s="75" t="s">
        <v>422</v>
      </c>
      <c r="D43" s="76" t="s">
        <v>646</v>
      </c>
      <c r="E43" s="76" t="s">
        <v>423</v>
      </c>
      <c r="F43" s="76" t="s">
        <v>815</v>
      </c>
      <c r="G43" s="75" t="s">
        <v>60</v>
      </c>
      <c r="H43" s="75" t="s">
        <v>100</v>
      </c>
      <c r="I43" s="75" t="s">
        <v>115</v>
      </c>
      <c r="J43" s="77" t="s">
        <v>342</v>
      </c>
      <c r="K43" s="75" t="s">
        <v>336</v>
      </c>
      <c r="L43" s="75">
        <v>39518.400000000001</v>
      </c>
      <c r="M43" s="75">
        <v>9879.6</v>
      </c>
      <c r="N43" s="75">
        <v>0</v>
      </c>
      <c r="O43" s="78">
        <v>49398</v>
      </c>
    </row>
    <row r="44" spans="1:15" ht="66.75" customHeight="1" x14ac:dyDescent="0.25">
      <c r="A44" s="1">
        <v>41</v>
      </c>
      <c r="B44" s="69" t="s">
        <v>339</v>
      </c>
      <c r="C44" s="70" t="s">
        <v>424</v>
      </c>
      <c r="D44" s="71" t="s">
        <v>647</v>
      </c>
      <c r="E44" s="71" t="s">
        <v>425</v>
      </c>
      <c r="F44" s="71" t="s">
        <v>813</v>
      </c>
      <c r="G44" s="70" t="s">
        <v>60</v>
      </c>
      <c r="H44" s="70" t="s">
        <v>100</v>
      </c>
      <c r="I44" s="70" t="s">
        <v>115</v>
      </c>
      <c r="J44" s="72" t="s">
        <v>342</v>
      </c>
      <c r="K44" s="70" t="s">
        <v>336</v>
      </c>
      <c r="L44" s="70">
        <v>39518.400000000001</v>
      </c>
      <c r="M44" s="70">
        <v>9879.6</v>
      </c>
      <c r="N44" s="70">
        <v>0</v>
      </c>
      <c r="O44" s="73">
        <v>49398</v>
      </c>
    </row>
    <row r="45" spans="1:15" ht="66.75" customHeight="1" x14ac:dyDescent="0.25">
      <c r="A45" s="1">
        <v>42</v>
      </c>
      <c r="B45" s="74" t="s">
        <v>340</v>
      </c>
      <c r="C45" s="75" t="s">
        <v>426</v>
      </c>
      <c r="D45" s="76" t="s">
        <v>648</v>
      </c>
      <c r="E45" s="76" t="s">
        <v>427</v>
      </c>
      <c r="F45" s="76" t="s">
        <v>816</v>
      </c>
      <c r="G45" s="75" t="s">
        <v>60</v>
      </c>
      <c r="H45" s="75" t="s">
        <v>100</v>
      </c>
      <c r="I45" s="75" t="s">
        <v>115</v>
      </c>
      <c r="J45" s="77" t="s">
        <v>342</v>
      </c>
      <c r="K45" s="75" t="s">
        <v>336</v>
      </c>
      <c r="L45" s="75">
        <v>39518.400000000001</v>
      </c>
      <c r="M45" s="75">
        <v>9879.6</v>
      </c>
      <c r="N45" s="75">
        <v>0</v>
      </c>
      <c r="O45" s="78">
        <v>49398</v>
      </c>
    </row>
    <row r="46" spans="1:15" ht="66.75" customHeight="1" x14ac:dyDescent="0.25">
      <c r="A46" s="1">
        <v>43</v>
      </c>
      <c r="B46" s="69" t="s">
        <v>340</v>
      </c>
      <c r="C46" s="70" t="s">
        <v>428</v>
      </c>
      <c r="D46" s="71" t="s">
        <v>649</v>
      </c>
      <c r="E46" s="71" t="s">
        <v>429</v>
      </c>
      <c r="F46" s="71" t="s">
        <v>817</v>
      </c>
      <c r="G46" s="70" t="s">
        <v>60</v>
      </c>
      <c r="H46" s="70" t="s">
        <v>100</v>
      </c>
      <c r="I46" s="70" t="s">
        <v>115</v>
      </c>
      <c r="J46" s="72" t="s">
        <v>342</v>
      </c>
      <c r="K46" s="70" t="s">
        <v>336</v>
      </c>
      <c r="L46" s="70">
        <v>39518.400000000001</v>
      </c>
      <c r="M46" s="70">
        <v>9879.6</v>
      </c>
      <c r="N46" s="70">
        <v>0</v>
      </c>
      <c r="O46" s="73">
        <v>49398</v>
      </c>
    </row>
    <row r="47" spans="1:15" ht="66.75" customHeight="1" x14ac:dyDescent="0.25">
      <c r="A47" s="1">
        <v>44</v>
      </c>
      <c r="B47" s="74" t="s">
        <v>340</v>
      </c>
      <c r="C47" s="75" t="s">
        <v>430</v>
      </c>
      <c r="D47" s="76" t="s">
        <v>650</v>
      </c>
      <c r="E47" s="76" t="s">
        <v>431</v>
      </c>
      <c r="F47" s="76" t="s">
        <v>813</v>
      </c>
      <c r="G47" s="75" t="s">
        <v>60</v>
      </c>
      <c r="H47" s="75" t="s">
        <v>100</v>
      </c>
      <c r="I47" s="75" t="s">
        <v>115</v>
      </c>
      <c r="J47" s="77" t="s">
        <v>342</v>
      </c>
      <c r="K47" s="75" t="s">
        <v>336</v>
      </c>
      <c r="L47" s="75">
        <v>39518.400000000001</v>
      </c>
      <c r="M47" s="75">
        <v>9879.6</v>
      </c>
      <c r="N47" s="75">
        <v>0</v>
      </c>
      <c r="O47" s="78">
        <v>49398</v>
      </c>
    </row>
    <row r="48" spans="1:15" ht="66.75" customHeight="1" x14ac:dyDescent="0.25">
      <c r="A48" s="1">
        <v>45</v>
      </c>
      <c r="B48" s="69" t="s">
        <v>340</v>
      </c>
      <c r="C48" s="70" t="s">
        <v>432</v>
      </c>
      <c r="D48" s="71" t="s">
        <v>651</v>
      </c>
      <c r="E48" s="71" t="s">
        <v>433</v>
      </c>
      <c r="F48" s="71" t="s">
        <v>818</v>
      </c>
      <c r="G48" s="70" t="s">
        <v>60</v>
      </c>
      <c r="H48" s="70" t="s">
        <v>100</v>
      </c>
      <c r="I48" s="70" t="s">
        <v>115</v>
      </c>
      <c r="J48" s="72" t="s">
        <v>342</v>
      </c>
      <c r="K48" s="70" t="s">
        <v>336</v>
      </c>
      <c r="L48" s="70">
        <v>39518.400000000001</v>
      </c>
      <c r="M48" s="70">
        <v>9879.6</v>
      </c>
      <c r="N48" s="70">
        <v>0</v>
      </c>
      <c r="O48" s="73">
        <v>49398</v>
      </c>
    </row>
    <row r="49" spans="1:15" ht="66.75" customHeight="1" x14ac:dyDescent="0.25">
      <c r="A49" s="1">
        <v>46</v>
      </c>
      <c r="B49" s="74" t="s">
        <v>340</v>
      </c>
      <c r="C49" s="75" t="s">
        <v>434</v>
      </c>
      <c r="D49" s="76" t="s">
        <v>652</v>
      </c>
      <c r="E49" s="76" t="s">
        <v>435</v>
      </c>
      <c r="F49" s="76" t="s">
        <v>806</v>
      </c>
      <c r="G49" s="75" t="s">
        <v>60</v>
      </c>
      <c r="H49" s="75" t="s">
        <v>100</v>
      </c>
      <c r="I49" s="75" t="s">
        <v>115</v>
      </c>
      <c r="J49" s="77" t="s">
        <v>342</v>
      </c>
      <c r="K49" s="75" t="s">
        <v>336</v>
      </c>
      <c r="L49" s="75">
        <v>39518.400000000001</v>
      </c>
      <c r="M49" s="75">
        <v>9879.6</v>
      </c>
      <c r="N49" s="75">
        <v>0</v>
      </c>
      <c r="O49" s="78">
        <v>49398</v>
      </c>
    </row>
    <row r="50" spans="1:15" ht="66.75" customHeight="1" x14ac:dyDescent="0.25">
      <c r="A50" s="1">
        <v>47</v>
      </c>
      <c r="B50" s="69" t="s">
        <v>340</v>
      </c>
      <c r="C50" s="70" t="s">
        <v>436</v>
      </c>
      <c r="D50" s="71" t="s">
        <v>653</v>
      </c>
      <c r="E50" s="71" t="s">
        <v>437</v>
      </c>
      <c r="F50" s="71" t="s">
        <v>813</v>
      </c>
      <c r="G50" s="70" t="s">
        <v>60</v>
      </c>
      <c r="H50" s="70" t="s">
        <v>100</v>
      </c>
      <c r="I50" s="70" t="s">
        <v>115</v>
      </c>
      <c r="J50" s="72" t="s">
        <v>342</v>
      </c>
      <c r="K50" s="70" t="s">
        <v>336</v>
      </c>
      <c r="L50" s="70">
        <v>39518.400000000001</v>
      </c>
      <c r="M50" s="70">
        <v>9879.6</v>
      </c>
      <c r="N50" s="70">
        <v>0</v>
      </c>
      <c r="O50" s="73">
        <v>49398</v>
      </c>
    </row>
    <row r="51" spans="1:15" ht="66.75" customHeight="1" x14ac:dyDescent="0.25">
      <c r="A51" s="1">
        <v>48</v>
      </c>
      <c r="B51" s="74" t="s">
        <v>340</v>
      </c>
      <c r="C51" s="75" t="s">
        <v>438</v>
      </c>
      <c r="D51" s="76" t="s">
        <v>654</v>
      </c>
      <c r="E51" s="76" t="s">
        <v>439</v>
      </c>
      <c r="F51" s="76" t="s">
        <v>813</v>
      </c>
      <c r="G51" s="75" t="s">
        <v>60</v>
      </c>
      <c r="H51" s="75" t="s">
        <v>100</v>
      </c>
      <c r="I51" s="75" t="s">
        <v>115</v>
      </c>
      <c r="J51" s="77" t="s">
        <v>342</v>
      </c>
      <c r="K51" s="75" t="s">
        <v>336</v>
      </c>
      <c r="L51" s="75">
        <v>39518.400000000001</v>
      </c>
      <c r="M51" s="75">
        <v>9879.6</v>
      </c>
      <c r="N51" s="75">
        <v>0</v>
      </c>
      <c r="O51" s="78">
        <v>49398</v>
      </c>
    </row>
    <row r="52" spans="1:15" ht="66.75" customHeight="1" x14ac:dyDescent="0.25">
      <c r="A52" s="1">
        <v>49</v>
      </c>
      <c r="B52" s="69" t="s">
        <v>340</v>
      </c>
      <c r="C52" s="70" t="s">
        <v>440</v>
      </c>
      <c r="D52" s="71" t="s">
        <v>655</v>
      </c>
      <c r="E52" s="71" t="s">
        <v>441</v>
      </c>
      <c r="F52" s="71" t="s">
        <v>819</v>
      </c>
      <c r="G52" s="70" t="s">
        <v>60</v>
      </c>
      <c r="H52" s="70" t="s">
        <v>100</v>
      </c>
      <c r="I52" s="70" t="s">
        <v>115</v>
      </c>
      <c r="J52" s="72" t="s">
        <v>342</v>
      </c>
      <c r="K52" s="70" t="s">
        <v>336</v>
      </c>
      <c r="L52" s="70">
        <v>39518.400000000001</v>
      </c>
      <c r="M52" s="70">
        <v>9879.6</v>
      </c>
      <c r="N52" s="70">
        <v>0</v>
      </c>
      <c r="O52" s="73">
        <v>49398</v>
      </c>
    </row>
    <row r="53" spans="1:15" ht="66.75" customHeight="1" x14ac:dyDescent="0.25">
      <c r="A53" s="1">
        <v>50</v>
      </c>
      <c r="B53" s="74" t="s">
        <v>340</v>
      </c>
      <c r="C53" s="75" t="s">
        <v>442</v>
      </c>
      <c r="D53" s="76" t="s">
        <v>656</v>
      </c>
      <c r="E53" s="76" t="s">
        <v>443</v>
      </c>
      <c r="F53" s="71" t="s">
        <v>830</v>
      </c>
      <c r="G53" s="75" t="s">
        <v>60</v>
      </c>
      <c r="H53" s="75" t="s">
        <v>100</v>
      </c>
      <c r="I53" s="75" t="s">
        <v>115</v>
      </c>
      <c r="J53" s="77" t="s">
        <v>342</v>
      </c>
      <c r="K53" s="75" t="s">
        <v>336</v>
      </c>
      <c r="L53" s="75">
        <v>39518.400000000001</v>
      </c>
      <c r="M53" s="75">
        <v>9879.6</v>
      </c>
      <c r="N53" s="75">
        <v>0</v>
      </c>
      <c r="O53" s="78">
        <v>49398</v>
      </c>
    </row>
    <row r="54" spans="1:15" ht="66.75" customHeight="1" x14ac:dyDescent="0.25">
      <c r="A54" s="1">
        <v>51</v>
      </c>
      <c r="B54" s="69" t="s">
        <v>341</v>
      </c>
      <c r="C54" s="70" t="s">
        <v>444</v>
      </c>
      <c r="D54" s="71" t="s">
        <v>657</v>
      </c>
      <c r="E54" s="71" t="s">
        <v>445</v>
      </c>
      <c r="F54" s="71" t="s">
        <v>803</v>
      </c>
      <c r="G54" s="70" t="s">
        <v>60</v>
      </c>
      <c r="H54" s="70" t="s">
        <v>100</v>
      </c>
      <c r="I54" s="70" t="s">
        <v>115</v>
      </c>
      <c r="J54" s="72" t="s">
        <v>342</v>
      </c>
      <c r="K54" s="70" t="s">
        <v>336</v>
      </c>
      <c r="L54" s="70">
        <v>39518.400000000001</v>
      </c>
      <c r="M54" s="70">
        <v>9879.6</v>
      </c>
      <c r="N54" s="70">
        <v>0</v>
      </c>
      <c r="O54" s="73">
        <v>49398</v>
      </c>
    </row>
    <row r="55" spans="1:15" ht="66.75" customHeight="1" x14ac:dyDescent="0.25">
      <c r="A55" s="1">
        <v>52</v>
      </c>
      <c r="B55" s="74" t="s">
        <v>341</v>
      </c>
      <c r="C55" s="75" t="s">
        <v>446</v>
      </c>
      <c r="D55" s="76" t="s">
        <v>658</v>
      </c>
      <c r="E55" s="76" t="s">
        <v>447</v>
      </c>
      <c r="F55" s="76" t="s">
        <v>814</v>
      </c>
      <c r="G55" s="75" t="s">
        <v>60</v>
      </c>
      <c r="H55" s="75" t="s">
        <v>100</v>
      </c>
      <c r="I55" s="75" t="s">
        <v>115</v>
      </c>
      <c r="J55" s="77" t="s">
        <v>342</v>
      </c>
      <c r="K55" s="75" t="s">
        <v>336</v>
      </c>
      <c r="L55" s="75">
        <v>39518.400000000001</v>
      </c>
      <c r="M55" s="75">
        <v>9879.6</v>
      </c>
      <c r="N55" s="75">
        <v>0</v>
      </c>
      <c r="O55" s="78">
        <v>49398</v>
      </c>
    </row>
    <row r="56" spans="1:15" ht="66.75" customHeight="1" x14ac:dyDescent="0.25">
      <c r="A56" s="1">
        <v>53</v>
      </c>
      <c r="B56" s="69" t="s">
        <v>341</v>
      </c>
      <c r="C56" s="70" t="s">
        <v>448</v>
      </c>
      <c r="D56" s="71" t="s">
        <v>659</v>
      </c>
      <c r="E56" s="71" t="s">
        <v>449</v>
      </c>
      <c r="F56" s="71" t="s">
        <v>830</v>
      </c>
      <c r="G56" s="70" t="s">
        <v>60</v>
      </c>
      <c r="H56" s="70" t="s">
        <v>100</v>
      </c>
      <c r="I56" s="70" t="s">
        <v>115</v>
      </c>
      <c r="J56" s="72" t="s">
        <v>342</v>
      </c>
      <c r="K56" s="70" t="s">
        <v>336</v>
      </c>
      <c r="L56" s="70">
        <v>39518.400000000001</v>
      </c>
      <c r="M56" s="70">
        <v>9879.6</v>
      </c>
      <c r="N56" s="70">
        <v>0</v>
      </c>
      <c r="O56" s="73">
        <v>49398</v>
      </c>
    </row>
    <row r="57" spans="1:15" ht="66.75" customHeight="1" x14ac:dyDescent="0.25">
      <c r="A57" s="1">
        <v>54</v>
      </c>
      <c r="B57" s="74" t="s">
        <v>334</v>
      </c>
      <c r="C57" s="75" t="s">
        <v>450</v>
      </c>
      <c r="D57" s="76" t="s">
        <v>660</v>
      </c>
      <c r="E57" s="76" t="s">
        <v>451</v>
      </c>
      <c r="F57" s="76" t="s">
        <v>806</v>
      </c>
      <c r="G57" s="75" t="s">
        <v>60</v>
      </c>
      <c r="H57" s="75" t="s">
        <v>100</v>
      </c>
      <c r="I57" s="75" t="s">
        <v>115</v>
      </c>
      <c r="J57" s="77" t="s">
        <v>335</v>
      </c>
      <c r="K57" s="75" t="s">
        <v>336</v>
      </c>
      <c r="L57" s="75">
        <v>19670</v>
      </c>
      <c r="M57" s="75">
        <v>8430</v>
      </c>
      <c r="N57" s="75">
        <v>0</v>
      </c>
      <c r="O57" s="78">
        <v>28100</v>
      </c>
    </row>
    <row r="58" spans="1:15" ht="66.75" customHeight="1" x14ac:dyDescent="0.25">
      <c r="A58" s="1">
        <v>55</v>
      </c>
      <c r="B58" s="69" t="s">
        <v>337</v>
      </c>
      <c r="C58" s="70" t="s">
        <v>452</v>
      </c>
      <c r="D58" s="71" t="s">
        <v>661</v>
      </c>
      <c r="E58" s="71" t="s">
        <v>453</v>
      </c>
      <c r="F58" s="71" t="s">
        <v>820</v>
      </c>
      <c r="G58" s="70" t="s">
        <v>60</v>
      </c>
      <c r="H58" s="70" t="s">
        <v>100</v>
      </c>
      <c r="I58" s="70" t="s">
        <v>115</v>
      </c>
      <c r="J58" s="72" t="s">
        <v>335</v>
      </c>
      <c r="K58" s="70" t="s">
        <v>336</v>
      </c>
      <c r="L58" s="70">
        <v>19670</v>
      </c>
      <c r="M58" s="70">
        <v>8430</v>
      </c>
      <c r="N58" s="70">
        <v>0</v>
      </c>
      <c r="O58" s="73">
        <v>28100</v>
      </c>
    </row>
    <row r="59" spans="1:15" ht="66.75" customHeight="1" x14ac:dyDescent="0.25">
      <c r="A59" s="1">
        <v>56</v>
      </c>
      <c r="B59" s="74" t="s">
        <v>340</v>
      </c>
      <c r="C59" s="75" t="s">
        <v>454</v>
      </c>
      <c r="D59" s="76" t="s">
        <v>662</v>
      </c>
      <c r="E59" s="76" t="s">
        <v>455</v>
      </c>
      <c r="F59" s="76" t="s">
        <v>821</v>
      </c>
      <c r="G59" s="75" t="s">
        <v>60</v>
      </c>
      <c r="H59" s="75" t="s">
        <v>100</v>
      </c>
      <c r="I59" s="75" t="s">
        <v>115</v>
      </c>
      <c r="J59" s="77" t="s">
        <v>335</v>
      </c>
      <c r="K59" s="75" t="s">
        <v>336</v>
      </c>
      <c r="L59" s="75">
        <v>29635.200000000001</v>
      </c>
      <c r="M59" s="75">
        <v>12700.8</v>
      </c>
      <c r="N59" s="75">
        <v>0</v>
      </c>
      <c r="O59" s="78">
        <v>42336</v>
      </c>
    </row>
    <row r="60" spans="1:15" ht="66.75" customHeight="1" x14ac:dyDescent="0.25">
      <c r="A60" s="1">
        <v>57</v>
      </c>
      <c r="B60" s="69" t="s">
        <v>340</v>
      </c>
      <c r="C60" s="70" t="s">
        <v>456</v>
      </c>
      <c r="D60" s="71" t="s">
        <v>663</v>
      </c>
      <c r="E60" s="71" t="s">
        <v>457</v>
      </c>
      <c r="F60" s="71" t="s">
        <v>821</v>
      </c>
      <c r="G60" s="70" t="s">
        <v>60</v>
      </c>
      <c r="H60" s="70" t="s">
        <v>100</v>
      </c>
      <c r="I60" s="70" t="s">
        <v>115</v>
      </c>
      <c r="J60" s="72" t="s">
        <v>335</v>
      </c>
      <c r="K60" s="70" t="s">
        <v>336</v>
      </c>
      <c r="L60" s="70">
        <v>28863.8</v>
      </c>
      <c r="M60" s="70">
        <v>12370.2</v>
      </c>
      <c r="N60" s="70">
        <v>0</v>
      </c>
      <c r="O60" s="73">
        <v>41234</v>
      </c>
    </row>
    <row r="61" spans="1:15" ht="66.75" customHeight="1" x14ac:dyDescent="0.25">
      <c r="A61" s="1">
        <v>58</v>
      </c>
      <c r="B61" s="74" t="s">
        <v>341</v>
      </c>
      <c r="C61" s="75" t="s">
        <v>458</v>
      </c>
      <c r="D61" s="76" t="s">
        <v>664</v>
      </c>
      <c r="E61" s="76" t="s">
        <v>459</v>
      </c>
      <c r="F61" s="76" t="s">
        <v>819</v>
      </c>
      <c r="G61" s="75" t="s">
        <v>60</v>
      </c>
      <c r="H61" s="75" t="s">
        <v>100</v>
      </c>
      <c r="I61" s="75" t="s">
        <v>115</v>
      </c>
      <c r="J61" s="77" t="s">
        <v>335</v>
      </c>
      <c r="K61" s="75" t="s">
        <v>336</v>
      </c>
      <c r="L61" s="75">
        <v>23100</v>
      </c>
      <c r="M61" s="75">
        <v>9900</v>
      </c>
      <c r="N61" s="75">
        <v>0</v>
      </c>
      <c r="O61" s="78">
        <v>33000</v>
      </c>
    </row>
    <row r="62" spans="1:15" ht="66.75" customHeight="1" x14ac:dyDescent="0.25">
      <c r="A62" s="1">
        <v>59</v>
      </c>
      <c r="B62" s="69" t="s">
        <v>334</v>
      </c>
      <c r="C62" s="70" t="s">
        <v>460</v>
      </c>
      <c r="D62" s="71" t="s">
        <v>665</v>
      </c>
      <c r="E62" s="71" t="s">
        <v>461</v>
      </c>
      <c r="F62" s="71" t="s">
        <v>830</v>
      </c>
      <c r="G62" s="70" t="s">
        <v>60</v>
      </c>
      <c r="H62" s="70" t="s">
        <v>100</v>
      </c>
      <c r="I62" s="70" t="s">
        <v>462</v>
      </c>
      <c r="J62" s="72" t="s">
        <v>342</v>
      </c>
      <c r="K62" s="70" t="s">
        <v>336</v>
      </c>
      <c r="L62" s="70">
        <v>33664</v>
      </c>
      <c r="M62" s="70">
        <v>8416</v>
      </c>
      <c r="N62" s="70">
        <v>0</v>
      </c>
      <c r="O62" s="73">
        <v>42080</v>
      </c>
    </row>
    <row r="63" spans="1:15" ht="66.75" customHeight="1" x14ac:dyDescent="0.25">
      <c r="A63" s="1">
        <v>60</v>
      </c>
      <c r="B63" s="74" t="s">
        <v>334</v>
      </c>
      <c r="C63" s="75" t="s">
        <v>463</v>
      </c>
      <c r="D63" s="76" t="s">
        <v>666</v>
      </c>
      <c r="E63" s="76" t="s">
        <v>464</v>
      </c>
      <c r="F63" s="71" t="s">
        <v>830</v>
      </c>
      <c r="G63" s="75" t="s">
        <v>60</v>
      </c>
      <c r="H63" s="75" t="s">
        <v>100</v>
      </c>
      <c r="I63" s="75" t="s">
        <v>462</v>
      </c>
      <c r="J63" s="77" t="s">
        <v>342</v>
      </c>
      <c r="K63" s="75" t="s">
        <v>336</v>
      </c>
      <c r="L63" s="75">
        <v>30517.94</v>
      </c>
      <c r="M63" s="75">
        <v>7629.49</v>
      </c>
      <c r="N63" s="75">
        <v>0</v>
      </c>
      <c r="O63" s="78">
        <v>38147.43</v>
      </c>
    </row>
    <row r="64" spans="1:15" ht="66.75" customHeight="1" x14ac:dyDescent="0.25">
      <c r="A64" s="1">
        <v>61</v>
      </c>
      <c r="B64" s="69" t="s">
        <v>334</v>
      </c>
      <c r="C64" s="70" t="s">
        <v>465</v>
      </c>
      <c r="D64" s="71" t="s">
        <v>667</v>
      </c>
      <c r="E64" s="71" t="s">
        <v>466</v>
      </c>
      <c r="F64" s="71" t="s">
        <v>70</v>
      </c>
      <c r="G64" s="70" t="s">
        <v>60</v>
      </c>
      <c r="H64" s="70" t="s">
        <v>100</v>
      </c>
      <c r="I64" s="70" t="s">
        <v>462</v>
      </c>
      <c r="J64" s="72" t="s">
        <v>342</v>
      </c>
      <c r="K64" s="70" t="s">
        <v>336</v>
      </c>
      <c r="L64" s="70">
        <v>28008</v>
      </c>
      <c r="M64" s="70">
        <v>7002</v>
      </c>
      <c r="N64" s="70">
        <v>0</v>
      </c>
      <c r="O64" s="73">
        <v>35010</v>
      </c>
    </row>
    <row r="65" spans="1:15" ht="66.75" customHeight="1" x14ac:dyDescent="0.25">
      <c r="A65" s="1">
        <v>62</v>
      </c>
      <c r="B65" s="74" t="s">
        <v>340</v>
      </c>
      <c r="C65" s="75" t="s">
        <v>467</v>
      </c>
      <c r="D65" s="76" t="s">
        <v>668</v>
      </c>
      <c r="E65" s="76" t="s">
        <v>468</v>
      </c>
      <c r="F65" s="76" t="s">
        <v>806</v>
      </c>
      <c r="G65" s="75" t="s">
        <v>60</v>
      </c>
      <c r="H65" s="75" t="s">
        <v>100</v>
      </c>
      <c r="I65" s="75" t="s">
        <v>462</v>
      </c>
      <c r="J65" s="77" t="s">
        <v>342</v>
      </c>
      <c r="K65" s="75" t="s">
        <v>336</v>
      </c>
      <c r="L65" s="75">
        <v>39518.400000000001</v>
      </c>
      <c r="M65" s="75">
        <v>9879.6</v>
      </c>
      <c r="N65" s="75">
        <v>0</v>
      </c>
      <c r="O65" s="78">
        <v>49398</v>
      </c>
    </row>
    <row r="66" spans="1:15" ht="66.75" customHeight="1" x14ac:dyDescent="0.25">
      <c r="A66" s="1">
        <v>63</v>
      </c>
      <c r="B66" s="69" t="s">
        <v>340</v>
      </c>
      <c r="C66" s="70" t="s">
        <v>469</v>
      </c>
      <c r="D66" s="71" t="s">
        <v>669</v>
      </c>
      <c r="E66" s="71" t="s">
        <v>470</v>
      </c>
      <c r="F66" s="71" t="s">
        <v>806</v>
      </c>
      <c r="G66" s="70" t="s">
        <v>60</v>
      </c>
      <c r="H66" s="70" t="s">
        <v>100</v>
      </c>
      <c r="I66" s="70" t="s">
        <v>462</v>
      </c>
      <c r="J66" s="72" t="s">
        <v>342</v>
      </c>
      <c r="K66" s="70" t="s">
        <v>336</v>
      </c>
      <c r="L66" s="70">
        <v>39518.400000000001</v>
      </c>
      <c r="M66" s="70">
        <v>9879.6</v>
      </c>
      <c r="N66" s="70">
        <v>0</v>
      </c>
      <c r="O66" s="73">
        <v>49398</v>
      </c>
    </row>
    <row r="67" spans="1:15" ht="66.75" customHeight="1" x14ac:dyDescent="0.25">
      <c r="A67" s="1">
        <v>64</v>
      </c>
      <c r="B67" s="74" t="s">
        <v>340</v>
      </c>
      <c r="C67" s="75" t="s">
        <v>471</v>
      </c>
      <c r="D67" s="76" t="s">
        <v>670</v>
      </c>
      <c r="E67" s="76" t="s">
        <v>472</v>
      </c>
      <c r="F67" s="76" t="s">
        <v>813</v>
      </c>
      <c r="G67" s="75" t="s">
        <v>60</v>
      </c>
      <c r="H67" s="75" t="s">
        <v>100</v>
      </c>
      <c r="I67" s="75" t="s">
        <v>462</v>
      </c>
      <c r="J67" s="77" t="s">
        <v>342</v>
      </c>
      <c r="K67" s="75" t="s">
        <v>336</v>
      </c>
      <c r="L67" s="75">
        <v>39518.400000000001</v>
      </c>
      <c r="M67" s="75">
        <v>9879.6</v>
      </c>
      <c r="N67" s="75">
        <v>0</v>
      </c>
      <c r="O67" s="78">
        <v>49398</v>
      </c>
    </row>
    <row r="68" spans="1:15" ht="66.75" customHeight="1" x14ac:dyDescent="0.25">
      <c r="A68" s="1">
        <v>65</v>
      </c>
      <c r="B68" s="69" t="s">
        <v>341</v>
      </c>
      <c r="C68" s="70" t="s">
        <v>473</v>
      </c>
      <c r="D68" s="71" t="s">
        <v>671</v>
      </c>
      <c r="E68" s="71" t="s">
        <v>474</v>
      </c>
      <c r="F68" s="71" t="s">
        <v>806</v>
      </c>
      <c r="G68" s="70" t="s">
        <v>60</v>
      </c>
      <c r="H68" s="70" t="s">
        <v>100</v>
      </c>
      <c r="I68" s="70" t="s">
        <v>462</v>
      </c>
      <c r="J68" s="72" t="s">
        <v>342</v>
      </c>
      <c r="K68" s="70" t="s">
        <v>336</v>
      </c>
      <c r="L68" s="70">
        <v>39518.400000000001</v>
      </c>
      <c r="M68" s="70">
        <v>9879.6</v>
      </c>
      <c r="N68" s="70">
        <v>0</v>
      </c>
      <c r="O68" s="73">
        <v>49398</v>
      </c>
    </row>
    <row r="69" spans="1:15" ht="66.75" customHeight="1" x14ac:dyDescent="0.25">
      <c r="A69" s="1">
        <v>66</v>
      </c>
      <c r="B69" s="74" t="s">
        <v>341</v>
      </c>
      <c r="C69" s="75" t="s">
        <v>475</v>
      </c>
      <c r="D69" s="76" t="s">
        <v>672</v>
      </c>
      <c r="E69" s="76" t="s">
        <v>476</v>
      </c>
      <c r="F69" s="76" t="s">
        <v>814</v>
      </c>
      <c r="G69" s="75" t="s">
        <v>60</v>
      </c>
      <c r="H69" s="75" t="s">
        <v>100</v>
      </c>
      <c r="I69" s="75" t="s">
        <v>462</v>
      </c>
      <c r="J69" s="77" t="s">
        <v>342</v>
      </c>
      <c r="K69" s="75" t="s">
        <v>336</v>
      </c>
      <c r="L69" s="75">
        <v>39518.400000000001</v>
      </c>
      <c r="M69" s="75">
        <v>9879.6</v>
      </c>
      <c r="N69" s="75">
        <v>0</v>
      </c>
      <c r="O69" s="78">
        <v>49398</v>
      </c>
    </row>
    <row r="70" spans="1:15" ht="66.75" customHeight="1" x14ac:dyDescent="0.25">
      <c r="A70" s="1">
        <v>67</v>
      </c>
      <c r="B70" s="69" t="s">
        <v>341</v>
      </c>
      <c r="C70" s="70" t="s">
        <v>477</v>
      </c>
      <c r="D70" s="71" t="s">
        <v>682</v>
      </c>
      <c r="E70" s="71" t="s">
        <v>478</v>
      </c>
      <c r="F70" s="71" t="s">
        <v>830</v>
      </c>
      <c r="G70" s="70" t="s">
        <v>60</v>
      </c>
      <c r="H70" s="70" t="s">
        <v>100</v>
      </c>
      <c r="I70" s="70" t="s">
        <v>462</v>
      </c>
      <c r="J70" s="72" t="s">
        <v>342</v>
      </c>
      <c r="K70" s="70" t="s">
        <v>336</v>
      </c>
      <c r="L70" s="70">
        <v>39518.400000000001</v>
      </c>
      <c r="M70" s="70">
        <v>9879.6</v>
      </c>
      <c r="N70" s="70">
        <v>0</v>
      </c>
      <c r="O70" s="73">
        <v>49398</v>
      </c>
    </row>
    <row r="71" spans="1:15" ht="66.75" customHeight="1" x14ac:dyDescent="0.25">
      <c r="A71" s="1">
        <v>68</v>
      </c>
      <c r="B71" s="74" t="s">
        <v>341</v>
      </c>
      <c r="C71" s="75" t="s">
        <v>479</v>
      </c>
      <c r="D71" s="76" t="s">
        <v>681</v>
      </c>
      <c r="E71" s="76" t="s">
        <v>480</v>
      </c>
      <c r="F71" s="71" t="s">
        <v>830</v>
      </c>
      <c r="G71" s="75" t="s">
        <v>60</v>
      </c>
      <c r="H71" s="75" t="s">
        <v>100</v>
      </c>
      <c r="I71" s="75" t="s">
        <v>462</v>
      </c>
      <c r="J71" s="77" t="s">
        <v>342</v>
      </c>
      <c r="K71" s="75" t="s">
        <v>336</v>
      </c>
      <c r="L71" s="75">
        <v>39518.400000000001</v>
      </c>
      <c r="M71" s="75">
        <v>9879.6</v>
      </c>
      <c r="N71" s="75">
        <v>0</v>
      </c>
      <c r="O71" s="78">
        <v>49398</v>
      </c>
    </row>
    <row r="72" spans="1:15" ht="66.75" customHeight="1" x14ac:dyDescent="0.25">
      <c r="A72" s="1">
        <v>69</v>
      </c>
      <c r="B72" s="69" t="s">
        <v>341</v>
      </c>
      <c r="C72" s="70" t="s">
        <v>481</v>
      </c>
      <c r="D72" s="71" t="s">
        <v>683</v>
      </c>
      <c r="E72" s="71" t="s">
        <v>482</v>
      </c>
      <c r="F72" s="71" t="s">
        <v>830</v>
      </c>
      <c r="G72" s="70" t="s">
        <v>60</v>
      </c>
      <c r="H72" s="70" t="s">
        <v>100</v>
      </c>
      <c r="I72" s="70" t="s">
        <v>462</v>
      </c>
      <c r="J72" s="72" t="s">
        <v>342</v>
      </c>
      <c r="K72" s="70" t="s">
        <v>336</v>
      </c>
      <c r="L72" s="70">
        <v>39518.400000000001</v>
      </c>
      <c r="M72" s="70">
        <v>9879.6</v>
      </c>
      <c r="N72" s="70">
        <v>0</v>
      </c>
      <c r="O72" s="73">
        <v>49398</v>
      </c>
    </row>
    <row r="73" spans="1:15" ht="66.75" customHeight="1" x14ac:dyDescent="0.25">
      <c r="A73" s="1">
        <v>70</v>
      </c>
      <c r="B73" s="74" t="s">
        <v>341</v>
      </c>
      <c r="C73" s="75" t="s">
        <v>483</v>
      </c>
      <c r="D73" s="76" t="s">
        <v>684</v>
      </c>
      <c r="E73" s="76" t="s">
        <v>484</v>
      </c>
      <c r="F73" s="76" t="s">
        <v>819</v>
      </c>
      <c r="G73" s="75" t="s">
        <v>60</v>
      </c>
      <c r="H73" s="75" t="s">
        <v>100</v>
      </c>
      <c r="I73" s="75" t="s">
        <v>462</v>
      </c>
      <c r="J73" s="77" t="s">
        <v>342</v>
      </c>
      <c r="K73" s="75" t="s">
        <v>336</v>
      </c>
      <c r="L73" s="75">
        <v>39518.400000000001</v>
      </c>
      <c r="M73" s="75">
        <v>9879.6</v>
      </c>
      <c r="N73" s="75">
        <v>0</v>
      </c>
      <c r="O73" s="78">
        <v>49398</v>
      </c>
    </row>
    <row r="74" spans="1:15" ht="66.75" customHeight="1" x14ac:dyDescent="0.25">
      <c r="A74" s="1">
        <v>71</v>
      </c>
      <c r="B74" s="69" t="s">
        <v>341</v>
      </c>
      <c r="C74" s="70" t="s">
        <v>485</v>
      </c>
      <c r="D74" s="71" t="s">
        <v>685</v>
      </c>
      <c r="E74" s="71" t="s">
        <v>486</v>
      </c>
      <c r="F74" s="71" t="s">
        <v>830</v>
      </c>
      <c r="G74" s="70" t="s">
        <v>60</v>
      </c>
      <c r="H74" s="70" t="s">
        <v>100</v>
      </c>
      <c r="I74" s="70" t="s">
        <v>462</v>
      </c>
      <c r="J74" s="72" t="s">
        <v>342</v>
      </c>
      <c r="K74" s="70" t="s">
        <v>336</v>
      </c>
      <c r="L74" s="70">
        <v>39518.400000000001</v>
      </c>
      <c r="M74" s="70">
        <v>9879.6</v>
      </c>
      <c r="N74" s="70">
        <v>0</v>
      </c>
      <c r="O74" s="73">
        <v>49398</v>
      </c>
    </row>
    <row r="75" spans="1:15" ht="66.75" customHeight="1" x14ac:dyDescent="0.25">
      <c r="A75" s="1">
        <v>72</v>
      </c>
      <c r="B75" s="74" t="s">
        <v>341</v>
      </c>
      <c r="C75" s="75" t="s">
        <v>487</v>
      </c>
      <c r="D75" s="76" t="s">
        <v>680</v>
      </c>
      <c r="E75" s="76" t="s">
        <v>488</v>
      </c>
      <c r="F75" s="71" t="s">
        <v>830</v>
      </c>
      <c r="G75" s="75" t="s">
        <v>60</v>
      </c>
      <c r="H75" s="75" t="s">
        <v>100</v>
      </c>
      <c r="I75" s="75" t="s">
        <v>462</v>
      </c>
      <c r="J75" s="77" t="s">
        <v>342</v>
      </c>
      <c r="K75" s="75" t="s">
        <v>336</v>
      </c>
      <c r="L75" s="75">
        <v>39518.400000000001</v>
      </c>
      <c r="M75" s="75">
        <v>9879.6</v>
      </c>
      <c r="N75" s="75">
        <v>0</v>
      </c>
      <c r="O75" s="78">
        <v>49398</v>
      </c>
    </row>
    <row r="76" spans="1:15" ht="66.75" customHeight="1" x14ac:dyDescent="0.25">
      <c r="A76" s="1">
        <v>73</v>
      </c>
      <c r="B76" s="69" t="s">
        <v>337</v>
      </c>
      <c r="C76" s="70" t="s">
        <v>489</v>
      </c>
      <c r="D76" s="71" t="s">
        <v>686</v>
      </c>
      <c r="E76" s="71" t="s">
        <v>490</v>
      </c>
      <c r="F76" s="71" t="s">
        <v>804</v>
      </c>
      <c r="G76" s="70" t="s">
        <v>60</v>
      </c>
      <c r="H76" s="70" t="s">
        <v>100</v>
      </c>
      <c r="I76" s="70" t="s">
        <v>462</v>
      </c>
      <c r="J76" s="72" t="s">
        <v>335</v>
      </c>
      <c r="K76" s="70" t="s">
        <v>336</v>
      </c>
      <c r="L76" s="70">
        <v>41565</v>
      </c>
      <c r="M76" s="70">
        <v>17813</v>
      </c>
      <c r="N76" s="70">
        <v>0</v>
      </c>
      <c r="O76" s="73">
        <v>59378</v>
      </c>
    </row>
    <row r="77" spans="1:15" ht="66.75" customHeight="1" x14ac:dyDescent="0.25">
      <c r="A77" s="1">
        <v>74</v>
      </c>
      <c r="B77" s="74" t="s">
        <v>341</v>
      </c>
      <c r="C77" s="75" t="s">
        <v>491</v>
      </c>
      <c r="D77" s="76" t="s">
        <v>687</v>
      </c>
      <c r="E77" s="76" t="s">
        <v>492</v>
      </c>
      <c r="F77" s="76" t="s">
        <v>821</v>
      </c>
      <c r="G77" s="75" t="s">
        <v>60</v>
      </c>
      <c r="H77" s="75" t="s">
        <v>100</v>
      </c>
      <c r="I77" s="75" t="s">
        <v>462</v>
      </c>
      <c r="J77" s="77" t="s">
        <v>335</v>
      </c>
      <c r="K77" s="75" t="s">
        <v>336</v>
      </c>
      <c r="L77" s="75">
        <v>23100</v>
      </c>
      <c r="M77" s="75">
        <v>9900</v>
      </c>
      <c r="N77" s="75">
        <v>0</v>
      </c>
      <c r="O77" s="78">
        <v>33000</v>
      </c>
    </row>
    <row r="78" spans="1:15" ht="66.75" customHeight="1" x14ac:dyDescent="0.25">
      <c r="A78" s="1">
        <v>75</v>
      </c>
      <c r="B78" s="69" t="s">
        <v>341</v>
      </c>
      <c r="C78" s="70" t="s">
        <v>493</v>
      </c>
      <c r="D78" s="71" t="s">
        <v>688</v>
      </c>
      <c r="E78" s="71" t="s">
        <v>494</v>
      </c>
      <c r="F78" s="71" t="s">
        <v>822</v>
      </c>
      <c r="G78" s="70" t="s">
        <v>60</v>
      </c>
      <c r="H78" s="70" t="s">
        <v>100</v>
      </c>
      <c r="I78" s="70" t="s">
        <v>462</v>
      </c>
      <c r="J78" s="72" t="s">
        <v>335</v>
      </c>
      <c r="K78" s="70" t="s">
        <v>336</v>
      </c>
      <c r="L78" s="70">
        <v>23100</v>
      </c>
      <c r="M78" s="70">
        <v>9900</v>
      </c>
      <c r="N78" s="70">
        <v>0</v>
      </c>
      <c r="O78" s="73">
        <v>33000</v>
      </c>
    </row>
    <row r="79" spans="1:15" ht="66.75" customHeight="1" x14ac:dyDescent="0.25">
      <c r="A79" s="1">
        <v>76</v>
      </c>
      <c r="B79" s="74" t="s">
        <v>334</v>
      </c>
      <c r="C79" s="75" t="s">
        <v>497</v>
      </c>
      <c r="D79" s="76" t="s">
        <v>689</v>
      </c>
      <c r="E79" s="76" t="s">
        <v>498</v>
      </c>
      <c r="F79" s="76" t="s">
        <v>806</v>
      </c>
      <c r="G79" s="75" t="s">
        <v>495</v>
      </c>
      <c r="H79" s="75" t="s">
        <v>496</v>
      </c>
      <c r="I79" s="75" t="s">
        <v>499</v>
      </c>
      <c r="J79" s="77" t="s">
        <v>335</v>
      </c>
      <c r="K79" s="75" t="s">
        <v>336</v>
      </c>
      <c r="L79" s="75">
        <v>38678.44</v>
      </c>
      <c r="M79" s="75">
        <v>16576.48</v>
      </c>
      <c r="N79" s="75">
        <v>0</v>
      </c>
      <c r="O79" s="78">
        <v>55254.92</v>
      </c>
    </row>
    <row r="80" spans="1:15" ht="66.75" customHeight="1" x14ac:dyDescent="0.25">
      <c r="A80" s="1">
        <v>77</v>
      </c>
      <c r="B80" s="69" t="s">
        <v>334</v>
      </c>
      <c r="C80" s="70" t="s">
        <v>500</v>
      </c>
      <c r="D80" s="71" t="s">
        <v>690</v>
      </c>
      <c r="E80" s="71" t="s">
        <v>501</v>
      </c>
      <c r="F80" s="71" t="s">
        <v>813</v>
      </c>
      <c r="G80" s="70" t="s">
        <v>495</v>
      </c>
      <c r="H80" s="70" t="s">
        <v>496</v>
      </c>
      <c r="I80" s="70" t="s">
        <v>499</v>
      </c>
      <c r="J80" s="72" t="s">
        <v>335</v>
      </c>
      <c r="K80" s="70" t="s">
        <v>336</v>
      </c>
      <c r="L80" s="70">
        <v>55893.599999999999</v>
      </c>
      <c r="M80" s="70">
        <v>23954.400000000001</v>
      </c>
      <c r="N80" s="70">
        <v>0</v>
      </c>
      <c r="O80" s="73">
        <v>79848</v>
      </c>
    </row>
    <row r="81" spans="1:15" ht="66.75" customHeight="1" x14ac:dyDescent="0.25">
      <c r="A81" s="1">
        <v>78</v>
      </c>
      <c r="B81" s="74" t="s">
        <v>337</v>
      </c>
      <c r="C81" s="75" t="s">
        <v>502</v>
      </c>
      <c r="D81" s="76" t="s">
        <v>691</v>
      </c>
      <c r="E81" s="76" t="s">
        <v>503</v>
      </c>
      <c r="F81" s="76" t="s">
        <v>813</v>
      </c>
      <c r="G81" s="75" t="s">
        <v>495</v>
      </c>
      <c r="H81" s="75" t="s">
        <v>496</v>
      </c>
      <c r="I81" s="75" t="s">
        <v>499</v>
      </c>
      <c r="J81" s="77" t="s">
        <v>335</v>
      </c>
      <c r="K81" s="75" t="s">
        <v>336</v>
      </c>
      <c r="L81" s="75">
        <v>50400</v>
      </c>
      <c r="M81" s="75">
        <v>21600</v>
      </c>
      <c r="N81" s="75">
        <v>0</v>
      </c>
      <c r="O81" s="78">
        <v>72000</v>
      </c>
    </row>
    <row r="82" spans="1:15" ht="66.75" customHeight="1" x14ac:dyDescent="0.25">
      <c r="A82" s="1">
        <v>79</v>
      </c>
      <c r="B82" s="69" t="s">
        <v>337</v>
      </c>
      <c r="C82" s="70" t="s">
        <v>504</v>
      </c>
      <c r="D82" s="71" t="s">
        <v>692</v>
      </c>
      <c r="E82" s="71" t="s">
        <v>505</v>
      </c>
      <c r="F82" s="71" t="s">
        <v>813</v>
      </c>
      <c r="G82" s="70" t="s">
        <v>495</v>
      </c>
      <c r="H82" s="70" t="s">
        <v>496</v>
      </c>
      <c r="I82" s="70" t="s">
        <v>499</v>
      </c>
      <c r="J82" s="72" t="s">
        <v>335</v>
      </c>
      <c r="K82" s="70" t="s">
        <v>336</v>
      </c>
      <c r="L82" s="70">
        <v>33600</v>
      </c>
      <c r="M82" s="70">
        <v>14400</v>
      </c>
      <c r="N82" s="70">
        <v>0</v>
      </c>
      <c r="O82" s="73">
        <v>48000</v>
      </c>
    </row>
    <row r="83" spans="1:15" ht="66.75" customHeight="1" x14ac:dyDescent="0.25">
      <c r="A83" s="1">
        <v>80</v>
      </c>
      <c r="B83" s="74" t="s">
        <v>338</v>
      </c>
      <c r="C83" s="75" t="s">
        <v>506</v>
      </c>
      <c r="D83" s="76" t="s">
        <v>693</v>
      </c>
      <c r="E83" s="76" t="s">
        <v>507</v>
      </c>
      <c r="F83" s="76" t="s">
        <v>811</v>
      </c>
      <c r="G83" s="75" t="s">
        <v>495</v>
      </c>
      <c r="H83" s="75" t="s">
        <v>496</v>
      </c>
      <c r="I83" s="75" t="s">
        <v>499</v>
      </c>
      <c r="J83" s="77" t="s">
        <v>335</v>
      </c>
      <c r="K83" s="75" t="s">
        <v>336</v>
      </c>
      <c r="L83" s="75">
        <v>19670</v>
      </c>
      <c r="M83" s="75">
        <v>8430</v>
      </c>
      <c r="N83" s="75">
        <v>0</v>
      </c>
      <c r="O83" s="78">
        <v>28100</v>
      </c>
    </row>
    <row r="84" spans="1:15" ht="66.75" customHeight="1" x14ac:dyDescent="0.25">
      <c r="A84" s="1">
        <v>81</v>
      </c>
      <c r="B84" s="69" t="s">
        <v>337</v>
      </c>
      <c r="C84" s="70" t="s">
        <v>509</v>
      </c>
      <c r="D84" s="71" t="s">
        <v>694</v>
      </c>
      <c r="E84" s="71" t="s">
        <v>510</v>
      </c>
      <c r="F84" s="71" t="s">
        <v>830</v>
      </c>
      <c r="G84" s="70" t="s">
        <v>210</v>
      </c>
      <c r="H84" s="70" t="s">
        <v>214</v>
      </c>
      <c r="I84" s="70" t="s">
        <v>252</v>
      </c>
      <c r="J84" s="72" t="s">
        <v>342</v>
      </c>
      <c r="K84" s="70" t="s">
        <v>336</v>
      </c>
      <c r="L84" s="70">
        <v>33650</v>
      </c>
      <c r="M84" s="70">
        <v>8413</v>
      </c>
      <c r="N84" s="70">
        <v>0</v>
      </c>
      <c r="O84" s="73">
        <v>42063</v>
      </c>
    </row>
    <row r="85" spans="1:15" ht="66.75" customHeight="1" x14ac:dyDescent="0.25">
      <c r="A85" s="1">
        <v>82</v>
      </c>
      <c r="B85" s="74" t="s">
        <v>337</v>
      </c>
      <c r="C85" s="75" t="s">
        <v>511</v>
      </c>
      <c r="D85" s="76" t="s">
        <v>695</v>
      </c>
      <c r="E85" s="76" t="s">
        <v>512</v>
      </c>
      <c r="F85" s="76" t="s">
        <v>813</v>
      </c>
      <c r="G85" s="75" t="s">
        <v>210</v>
      </c>
      <c r="H85" s="75" t="s">
        <v>214</v>
      </c>
      <c r="I85" s="75" t="s">
        <v>252</v>
      </c>
      <c r="J85" s="77" t="s">
        <v>342</v>
      </c>
      <c r="K85" s="75" t="s">
        <v>336</v>
      </c>
      <c r="L85" s="75">
        <v>33633</v>
      </c>
      <c r="M85" s="75">
        <v>8430</v>
      </c>
      <c r="N85" s="75">
        <v>0</v>
      </c>
      <c r="O85" s="78">
        <v>42063</v>
      </c>
    </row>
    <row r="86" spans="1:15" ht="66.75" customHeight="1" x14ac:dyDescent="0.25">
      <c r="A86" s="1">
        <v>83</v>
      </c>
      <c r="B86" s="69" t="s">
        <v>337</v>
      </c>
      <c r="C86" s="70" t="s">
        <v>513</v>
      </c>
      <c r="D86" s="71" t="s">
        <v>696</v>
      </c>
      <c r="E86" s="71" t="s">
        <v>514</v>
      </c>
      <c r="F86" s="71" t="s">
        <v>830</v>
      </c>
      <c r="G86" s="70" t="s">
        <v>210</v>
      </c>
      <c r="H86" s="70" t="s">
        <v>214</v>
      </c>
      <c r="I86" s="70" t="s">
        <v>252</v>
      </c>
      <c r="J86" s="72" t="s">
        <v>342</v>
      </c>
      <c r="K86" s="70" t="s">
        <v>336</v>
      </c>
      <c r="L86" s="70">
        <v>33650</v>
      </c>
      <c r="M86" s="70">
        <v>8413</v>
      </c>
      <c r="N86" s="70">
        <v>0</v>
      </c>
      <c r="O86" s="73">
        <v>42063</v>
      </c>
    </row>
    <row r="87" spans="1:15" ht="66.75" customHeight="1" x14ac:dyDescent="0.25">
      <c r="A87" s="1">
        <v>84</v>
      </c>
      <c r="B87" s="74" t="s">
        <v>337</v>
      </c>
      <c r="C87" s="75" t="s">
        <v>515</v>
      </c>
      <c r="D87" s="76" t="s">
        <v>697</v>
      </c>
      <c r="E87" s="76" t="s">
        <v>516</v>
      </c>
      <c r="F87" s="71" t="s">
        <v>830</v>
      </c>
      <c r="G87" s="75" t="s">
        <v>210</v>
      </c>
      <c r="H87" s="75" t="s">
        <v>214</v>
      </c>
      <c r="I87" s="75" t="s">
        <v>252</v>
      </c>
      <c r="J87" s="77" t="s">
        <v>342</v>
      </c>
      <c r="K87" s="75" t="s">
        <v>336</v>
      </c>
      <c r="L87" s="75">
        <v>33650</v>
      </c>
      <c r="M87" s="75">
        <v>8413</v>
      </c>
      <c r="N87" s="75">
        <v>0</v>
      </c>
      <c r="O87" s="78">
        <v>42063</v>
      </c>
    </row>
    <row r="88" spans="1:15" ht="66.75" customHeight="1" x14ac:dyDescent="0.25">
      <c r="A88" s="1">
        <v>85</v>
      </c>
      <c r="B88" s="69" t="s">
        <v>339</v>
      </c>
      <c r="C88" s="70" t="s">
        <v>517</v>
      </c>
      <c r="D88" s="71" t="s">
        <v>698</v>
      </c>
      <c r="E88" s="71" t="s">
        <v>518</v>
      </c>
      <c r="F88" s="71" t="s">
        <v>821</v>
      </c>
      <c r="G88" s="70" t="s">
        <v>210</v>
      </c>
      <c r="H88" s="70" t="s">
        <v>214</v>
      </c>
      <c r="I88" s="70" t="s">
        <v>286</v>
      </c>
      <c r="J88" s="72" t="s">
        <v>335</v>
      </c>
      <c r="K88" s="70" t="s">
        <v>336</v>
      </c>
      <c r="L88" s="70">
        <v>31926.3</v>
      </c>
      <c r="M88" s="70">
        <v>13682.7</v>
      </c>
      <c r="N88" s="70">
        <v>0</v>
      </c>
      <c r="O88" s="73">
        <v>45609</v>
      </c>
    </row>
    <row r="89" spans="1:15" ht="66.75" customHeight="1" x14ac:dyDescent="0.25">
      <c r="A89" s="1">
        <v>86</v>
      </c>
      <c r="B89" s="74" t="s">
        <v>339</v>
      </c>
      <c r="C89" s="75" t="s">
        <v>519</v>
      </c>
      <c r="D89" s="76" t="s">
        <v>699</v>
      </c>
      <c r="E89" s="76" t="s">
        <v>520</v>
      </c>
      <c r="F89" s="76" t="s">
        <v>821</v>
      </c>
      <c r="G89" s="75" t="s">
        <v>210</v>
      </c>
      <c r="H89" s="75" t="s">
        <v>214</v>
      </c>
      <c r="I89" s="75" t="s">
        <v>286</v>
      </c>
      <c r="J89" s="77" t="s">
        <v>335</v>
      </c>
      <c r="K89" s="75" t="s">
        <v>336</v>
      </c>
      <c r="L89" s="75">
        <v>23100</v>
      </c>
      <c r="M89" s="75">
        <v>9900</v>
      </c>
      <c r="N89" s="75">
        <v>0</v>
      </c>
      <c r="O89" s="78">
        <v>33000</v>
      </c>
    </row>
    <row r="90" spans="1:15" ht="66.75" customHeight="1" x14ac:dyDescent="0.25">
      <c r="A90" s="1">
        <v>87</v>
      </c>
      <c r="B90" s="69" t="s">
        <v>340</v>
      </c>
      <c r="C90" s="70" t="s">
        <v>521</v>
      </c>
      <c r="D90" s="71" t="s">
        <v>700</v>
      </c>
      <c r="E90" s="71" t="s">
        <v>522</v>
      </c>
      <c r="F90" s="71" t="s">
        <v>806</v>
      </c>
      <c r="G90" s="70" t="s">
        <v>210</v>
      </c>
      <c r="H90" s="70" t="s">
        <v>214</v>
      </c>
      <c r="I90" s="70" t="s">
        <v>286</v>
      </c>
      <c r="J90" s="72" t="s">
        <v>335</v>
      </c>
      <c r="K90" s="70" t="s">
        <v>336</v>
      </c>
      <c r="L90" s="70">
        <v>23100</v>
      </c>
      <c r="M90" s="70">
        <v>9900</v>
      </c>
      <c r="N90" s="70">
        <v>0</v>
      </c>
      <c r="O90" s="73">
        <v>33000</v>
      </c>
    </row>
    <row r="91" spans="1:15" ht="66.75" customHeight="1" x14ac:dyDescent="0.25">
      <c r="A91" s="1">
        <v>88</v>
      </c>
      <c r="B91" s="74" t="s">
        <v>340</v>
      </c>
      <c r="C91" s="75" t="s">
        <v>523</v>
      </c>
      <c r="D91" s="76" t="s">
        <v>701</v>
      </c>
      <c r="E91" s="76" t="s">
        <v>524</v>
      </c>
      <c r="F91" s="76" t="s">
        <v>821</v>
      </c>
      <c r="G91" s="75" t="s">
        <v>210</v>
      </c>
      <c r="H91" s="75" t="s">
        <v>214</v>
      </c>
      <c r="I91" s="75" t="s">
        <v>286</v>
      </c>
      <c r="J91" s="77" t="s">
        <v>335</v>
      </c>
      <c r="K91" s="75" t="s">
        <v>336</v>
      </c>
      <c r="L91" s="75">
        <v>23100</v>
      </c>
      <c r="M91" s="75">
        <v>9900</v>
      </c>
      <c r="N91" s="75">
        <v>0</v>
      </c>
      <c r="O91" s="78">
        <v>33000</v>
      </c>
    </row>
    <row r="92" spans="1:15" ht="66.75" customHeight="1" x14ac:dyDescent="0.25">
      <c r="A92" s="1">
        <v>89</v>
      </c>
      <c r="B92" s="69" t="s">
        <v>340</v>
      </c>
      <c r="C92" s="70" t="s">
        <v>525</v>
      </c>
      <c r="D92" s="71" t="s">
        <v>702</v>
      </c>
      <c r="E92" s="71" t="s">
        <v>526</v>
      </c>
      <c r="F92" s="71" t="s">
        <v>823</v>
      </c>
      <c r="G92" s="70" t="s">
        <v>210</v>
      </c>
      <c r="H92" s="70" t="s">
        <v>214</v>
      </c>
      <c r="I92" s="70" t="s">
        <v>286</v>
      </c>
      <c r="J92" s="72" t="s">
        <v>335</v>
      </c>
      <c r="K92" s="70" t="s">
        <v>336</v>
      </c>
      <c r="L92" s="70">
        <v>23100</v>
      </c>
      <c r="M92" s="70">
        <v>9900</v>
      </c>
      <c r="N92" s="70">
        <v>0</v>
      </c>
      <c r="O92" s="73">
        <v>33000</v>
      </c>
    </row>
    <row r="93" spans="1:15" ht="66.75" customHeight="1" x14ac:dyDescent="0.25">
      <c r="A93" s="1">
        <v>90</v>
      </c>
      <c r="B93" s="74" t="s">
        <v>337</v>
      </c>
      <c r="C93" s="75" t="s">
        <v>527</v>
      </c>
      <c r="D93" s="76" t="s">
        <v>703</v>
      </c>
      <c r="E93" s="76" t="s">
        <v>528</v>
      </c>
      <c r="F93" s="76" t="s">
        <v>806</v>
      </c>
      <c r="G93" s="75" t="s">
        <v>210</v>
      </c>
      <c r="H93" s="75" t="s">
        <v>214</v>
      </c>
      <c r="I93" s="75" t="s">
        <v>236</v>
      </c>
      <c r="J93" s="77" t="s">
        <v>342</v>
      </c>
      <c r="K93" s="75" t="s">
        <v>336</v>
      </c>
      <c r="L93" s="75">
        <v>33650</v>
      </c>
      <c r="M93" s="75">
        <v>8413</v>
      </c>
      <c r="N93" s="75">
        <v>0</v>
      </c>
      <c r="O93" s="78">
        <v>42063</v>
      </c>
    </row>
    <row r="94" spans="1:15" ht="66.75" customHeight="1" x14ac:dyDescent="0.25">
      <c r="A94" s="1">
        <v>91</v>
      </c>
      <c r="B94" s="69" t="s">
        <v>337</v>
      </c>
      <c r="C94" s="70" t="s">
        <v>529</v>
      </c>
      <c r="D94" s="71" t="s">
        <v>704</v>
      </c>
      <c r="E94" s="71" t="s">
        <v>530</v>
      </c>
      <c r="F94" s="71" t="s">
        <v>806</v>
      </c>
      <c r="G94" s="70" t="s">
        <v>210</v>
      </c>
      <c r="H94" s="70" t="s">
        <v>214</v>
      </c>
      <c r="I94" s="70" t="s">
        <v>236</v>
      </c>
      <c r="J94" s="72" t="s">
        <v>342</v>
      </c>
      <c r="K94" s="70" t="s">
        <v>336</v>
      </c>
      <c r="L94" s="70">
        <v>33650</v>
      </c>
      <c r="M94" s="70">
        <v>8413</v>
      </c>
      <c r="N94" s="70">
        <v>0</v>
      </c>
      <c r="O94" s="73">
        <v>42063</v>
      </c>
    </row>
    <row r="95" spans="1:15" ht="66.75" customHeight="1" x14ac:dyDescent="0.25">
      <c r="A95" s="1">
        <v>92</v>
      </c>
      <c r="B95" s="74" t="s">
        <v>334</v>
      </c>
      <c r="C95" s="75" t="s">
        <v>531</v>
      </c>
      <c r="D95" s="76" t="s">
        <v>705</v>
      </c>
      <c r="E95" s="76" t="s">
        <v>532</v>
      </c>
      <c r="F95" s="76" t="s">
        <v>804</v>
      </c>
      <c r="G95" s="75" t="s">
        <v>210</v>
      </c>
      <c r="H95" s="75" t="s">
        <v>219</v>
      </c>
      <c r="I95" s="75" t="s">
        <v>533</v>
      </c>
      <c r="J95" s="77" t="s">
        <v>342</v>
      </c>
      <c r="K95" s="75" t="s">
        <v>336</v>
      </c>
      <c r="L95" s="75">
        <v>33720</v>
      </c>
      <c r="M95" s="75">
        <v>17100</v>
      </c>
      <c r="N95" s="75">
        <v>11152</v>
      </c>
      <c r="O95" s="78">
        <v>61972</v>
      </c>
    </row>
    <row r="96" spans="1:15" ht="66.75" customHeight="1" x14ac:dyDescent="0.25">
      <c r="A96" s="1">
        <v>93</v>
      </c>
      <c r="B96" s="69" t="s">
        <v>341</v>
      </c>
      <c r="C96" s="70" t="s">
        <v>534</v>
      </c>
      <c r="D96" s="71" t="s">
        <v>706</v>
      </c>
      <c r="E96" s="71" t="s">
        <v>535</v>
      </c>
      <c r="F96" s="71" t="s">
        <v>824</v>
      </c>
      <c r="G96" s="70" t="s">
        <v>210</v>
      </c>
      <c r="H96" s="70" t="s">
        <v>219</v>
      </c>
      <c r="I96" s="70" t="s">
        <v>533</v>
      </c>
      <c r="J96" s="72" t="s">
        <v>335</v>
      </c>
      <c r="K96" s="70" t="s">
        <v>336</v>
      </c>
      <c r="L96" s="70">
        <v>39930.1</v>
      </c>
      <c r="M96" s="70">
        <v>17112.900000000001</v>
      </c>
      <c r="N96" s="70">
        <v>0</v>
      </c>
      <c r="O96" s="73">
        <v>57043</v>
      </c>
    </row>
    <row r="97" spans="1:15" ht="66.75" customHeight="1" x14ac:dyDescent="0.25">
      <c r="A97" s="1">
        <v>94</v>
      </c>
      <c r="B97" s="74" t="s">
        <v>340</v>
      </c>
      <c r="C97" s="75" t="s">
        <v>536</v>
      </c>
      <c r="D97" s="76" t="s">
        <v>707</v>
      </c>
      <c r="E97" s="76" t="s">
        <v>537</v>
      </c>
      <c r="F97" s="71" t="s">
        <v>805</v>
      </c>
      <c r="G97" s="75" t="s">
        <v>304</v>
      </c>
      <c r="H97" s="75" t="s">
        <v>508</v>
      </c>
      <c r="I97" s="75" t="s">
        <v>538</v>
      </c>
      <c r="J97" s="77" t="s">
        <v>335</v>
      </c>
      <c r="K97" s="75" t="s">
        <v>336</v>
      </c>
      <c r="L97" s="75">
        <v>23100</v>
      </c>
      <c r="M97" s="75">
        <v>9900</v>
      </c>
      <c r="N97" s="75">
        <v>0</v>
      </c>
      <c r="O97" s="78">
        <v>33000</v>
      </c>
    </row>
    <row r="98" spans="1:15" ht="66.75" customHeight="1" x14ac:dyDescent="0.25">
      <c r="A98" s="1">
        <v>95</v>
      </c>
      <c r="B98" s="69" t="s">
        <v>340</v>
      </c>
      <c r="C98" s="70" t="s">
        <v>539</v>
      </c>
      <c r="D98" s="71" t="s">
        <v>708</v>
      </c>
      <c r="E98" s="71" t="s">
        <v>540</v>
      </c>
      <c r="F98" s="71" t="s">
        <v>825</v>
      </c>
      <c r="G98" s="70" t="s">
        <v>304</v>
      </c>
      <c r="H98" s="70" t="s">
        <v>508</v>
      </c>
      <c r="I98" s="70" t="s">
        <v>538</v>
      </c>
      <c r="J98" s="72" t="s">
        <v>335</v>
      </c>
      <c r="K98" s="70" t="s">
        <v>336</v>
      </c>
      <c r="L98" s="70">
        <v>23100</v>
      </c>
      <c r="M98" s="70">
        <v>9900</v>
      </c>
      <c r="N98" s="70">
        <v>0</v>
      </c>
      <c r="O98" s="73">
        <v>33000</v>
      </c>
    </row>
    <row r="99" spans="1:15" ht="66.75" customHeight="1" x14ac:dyDescent="0.25">
      <c r="A99" s="1">
        <v>96</v>
      </c>
      <c r="B99" s="79" t="s">
        <v>341</v>
      </c>
      <c r="C99" s="80" t="s">
        <v>541</v>
      </c>
      <c r="D99" s="81" t="s">
        <v>709</v>
      </c>
      <c r="E99" s="81" t="s">
        <v>542</v>
      </c>
      <c r="F99" s="71" t="s">
        <v>805</v>
      </c>
      <c r="G99" s="80" t="s">
        <v>304</v>
      </c>
      <c r="H99" s="80" t="s">
        <v>508</v>
      </c>
      <c r="I99" s="80" t="s">
        <v>538</v>
      </c>
      <c r="J99" s="82" t="s">
        <v>335</v>
      </c>
      <c r="K99" s="80" t="s">
        <v>336</v>
      </c>
      <c r="L99" s="80">
        <v>23100</v>
      </c>
      <c r="M99" s="80">
        <v>9900</v>
      </c>
      <c r="N99" s="80">
        <v>0</v>
      </c>
      <c r="O99" s="83">
        <v>33000</v>
      </c>
    </row>
    <row r="100" spans="1:15" x14ac:dyDescent="0.25">
      <c r="O100">
        <f>SUBTOTAL(9,O4:O99)</f>
        <v>4420794.3499999996</v>
      </c>
    </row>
  </sheetData>
  <autoFilter ref="B3:O99"/>
  <mergeCells count="1">
    <mergeCell ref="B2:O2"/>
  </mergeCells>
  <pageMargins left="0.70866141732283472" right="0.70866141732283472" top="0.74803149606299213" bottom="0.35433070866141736" header="0.31496062992125984" footer="0.31496062992125984"/>
  <pageSetup paperSize="9" scale="7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3:J58"/>
  <sheetViews>
    <sheetView workbookViewId="0">
      <selection activeCell="H35" sqref="H35"/>
    </sheetView>
  </sheetViews>
  <sheetFormatPr baseColWidth="10" defaultRowHeight="15" x14ac:dyDescent="0.25"/>
  <cols>
    <col min="1" max="1" width="23.5703125" customWidth="1"/>
    <col min="2" max="2" width="14.5703125" customWidth="1"/>
    <col min="3" max="3" width="15" bestFit="1" customWidth="1"/>
    <col min="4" max="4" width="8.28515625" customWidth="1"/>
    <col min="5" max="5" width="10.85546875" customWidth="1"/>
    <col min="6" max="6" width="11.140625" customWidth="1"/>
    <col min="7" max="7" width="15" bestFit="1" customWidth="1"/>
    <col min="8" max="8" width="6.5703125" customWidth="1"/>
    <col min="9" max="9" width="8.42578125" customWidth="1"/>
    <col min="10" max="10" width="12.5703125" bestFit="1" customWidth="1"/>
  </cols>
  <sheetData>
    <row r="3" spans="1:10" x14ac:dyDescent="0.25">
      <c r="A3" s="223" t="s">
        <v>826</v>
      </c>
      <c r="B3" s="223" t="s">
        <v>314</v>
      </c>
    </row>
    <row r="4" spans="1:10" x14ac:dyDescent="0.25">
      <c r="B4" t="s">
        <v>342</v>
      </c>
      <c r="D4" t="s">
        <v>827</v>
      </c>
      <c r="E4" t="s">
        <v>335</v>
      </c>
      <c r="I4" t="s">
        <v>828</v>
      </c>
      <c r="J4" t="s">
        <v>313</v>
      </c>
    </row>
    <row r="5" spans="1:10" x14ac:dyDescent="0.25">
      <c r="A5" s="223" t="s">
        <v>312</v>
      </c>
      <c r="B5" t="s">
        <v>60</v>
      </c>
      <c r="C5" t="s">
        <v>210</v>
      </c>
      <c r="E5" t="s">
        <v>60</v>
      </c>
      <c r="F5" t="s">
        <v>495</v>
      </c>
      <c r="G5" t="s">
        <v>210</v>
      </c>
      <c r="H5" t="s">
        <v>304</v>
      </c>
    </row>
    <row r="6" spans="1:10" x14ac:dyDescent="0.25">
      <c r="A6" s="224" t="s">
        <v>825</v>
      </c>
      <c r="B6" s="226"/>
      <c r="C6" s="226"/>
      <c r="D6" s="226"/>
      <c r="E6" s="226"/>
      <c r="F6" s="226"/>
      <c r="G6" s="226"/>
      <c r="H6" s="226">
        <v>1</v>
      </c>
      <c r="I6" s="226">
        <v>1</v>
      </c>
      <c r="J6" s="226">
        <v>1</v>
      </c>
    </row>
    <row r="7" spans="1:10" x14ac:dyDescent="0.25">
      <c r="A7" s="224" t="s">
        <v>816</v>
      </c>
      <c r="B7" s="226">
        <v>1</v>
      </c>
      <c r="C7" s="226"/>
      <c r="D7" s="226">
        <v>1</v>
      </c>
      <c r="E7" s="226"/>
      <c r="F7" s="226"/>
      <c r="G7" s="226"/>
      <c r="H7" s="226"/>
      <c r="I7" s="226"/>
      <c r="J7" s="226">
        <v>1</v>
      </c>
    </row>
    <row r="8" spans="1:10" x14ac:dyDescent="0.25">
      <c r="A8" s="224" t="s">
        <v>819</v>
      </c>
      <c r="B8" s="226">
        <v>2</v>
      </c>
      <c r="C8" s="226"/>
      <c r="D8" s="226">
        <v>2</v>
      </c>
      <c r="E8" s="226">
        <v>1</v>
      </c>
      <c r="F8" s="226"/>
      <c r="G8" s="226"/>
      <c r="H8" s="226"/>
      <c r="I8" s="226">
        <v>1</v>
      </c>
      <c r="J8" s="226">
        <v>3</v>
      </c>
    </row>
    <row r="9" spans="1:10" x14ac:dyDescent="0.25">
      <c r="A9" s="224" t="s">
        <v>824</v>
      </c>
      <c r="B9" s="226"/>
      <c r="C9" s="226"/>
      <c r="D9" s="226"/>
      <c r="E9" s="226"/>
      <c r="F9" s="226"/>
      <c r="G9" s="226">
        <v>1</v>
      </c>
      <c r="H9" s="226"/>
      <c r="I9" s="226">
        <v>1</v>
      </c>
      <c r="J9" s="226">
        <v>1</v>
      </c>
    </row>
    <row r="10" spans="1:10" x14ac:dyDescent="0.25">
      <c r="A10" s="224" t="s">
        <v>818</v>
      </c>
      <c r="B10" s="226">
        <v>1</v>
      </c>
      <c r="C10" s="226"/>
      <c r="D10" s="226">
        <v>1</v>
      </c>
      <c r="E10" s="226"/>
      <c r="F10" s="226"/>
      <c r="G10" s="226"/>
      <c r="H10" s="226"/>
      <c r="I10" s="226"/>
      <c r="J10" s="226">
        <v>1</v>
      </c>
    </row>
    <row r="11" spans="1:10" x14ac:dyDescent="0.25">
      <c r="A11" s="224" t="s">
        <v>806</v>
      </c>
      <c r="B11" s="226">
        <v>8</v>
      </c>
      <c r="C11" s="226">
        <v>2</v>
      </c>
      <c r="D11" s="226">
        <v>10</v>
      </c>
      <c r="E11" s="226">
        <v>3</v>
      </c>
      <c r="F11" s="226">
        <v>1</v>
      </c>
      <c r="G11" s="226">
        <v>1</v>
      </c>
      <c r="H11" s="226"/>
      <c r="I11" s="226">
        <v>5</v>
      </c>
      <c r="J11" s="226">
        <v>15</v>
      </c>
    </row>
    <row r="12" spans="1:10" x14ac:dyDescent="0.25">
      <c r="A12" s="224" t="s">
        <v>70</v>
      </c>
      <c r="B12" s="226">
        <v>3</v>
      </c>
      <c r="C12" s="226"/>
      <c r="D12" s="226">
        <v>3</v>
      </c>
      <c r="E12" s="226"/>
      <c r="F12" s="226"/>
      <c r="G12" s="226"/>
      <c r="H12" s="226"/>
      <c r="I12" s="226"/>
      <c r="J12" s="226">
        <v>3</v>
      </c>
    </row>
    <row r="13" spans="1:10" x14ac:dyDescent="0.25">
      <c r="A13" s="224" t="s">
        <v>803</v>
      </c>
      <c r="B13" s="226">
        <v>10</v>
      </c>
      <c r="C13" s="226"/>
      <c r="D13" s="226">
        <v>10</v>
      </c>
      <c r="E13" s="226"/>
      <c r="F13" s="226"/>
      <c r="G13" s="226"/>
      <c r="H13" s="226"/>
      <c r="I13" s="226"/>
      <c r="J13" s="226">
        <v>10</v>
      </c>
    </row>
    <row r="14" spans="1:10" x14ac:dyDescent="0.25">
      <c r="A14" s="224" t="s">
        <v>813</v>
      </c>
      <c r="B14" s="226">
        <v>6</v>
      </c>
      <c r="C14" s="226">
        <v>1</v>
      </c>
      <c r="D14" s="226">
        <v>7</v>
      </c>
      <c r="E14" s="226"/>
      <c r="F14" s="226">
        <v>3</v>
      </c>
      <c r="G14" s="226"/>
      <c r="H14" s="226"/>
      <c r="I14" s="226">
        <v>3</v>
      </c>
      <c r="J14" s="226">
        <v>10</v>
      </c>
    </row>
    <row r="15" spans="1:10" x14ac:dyDescent="0.25">
      <c r="A15" s="224" t="s">
        <v>811</v>
      </c>
      <c r="B15" s="226"/>
      <c r="C15" s="226"/>
      <c r="D15" s="226"/>
      <c r="E15" s="226">
        <v>1</v>
      </c>
      <c r="F15" s="226">
        <v>1</v>
      </c>
      <c r="G15" s="226"/>
      <c r="H15" s="226"/>
      <c r="I15" s="226">
        <v>2</v>
      </c>
      <c r="J15" s="226">
        <v>2</v>
      </c>
    </row>
    <row r="16" spans="1:10" x14ac:dyDescent="0.25">
      <c r="A16" s="224" t="s">
        <v>821</v>
      </c>
      <c r="B16" s="226"/>
      <c r="C16" s="226"/>
      <c r="D16" s="226"/>
      <c r="E16" s="226">
        <v>3</v>
      </c>
      <c r="F16" s="226"/>
      <c r="G16" s="226">
        <v>3</v>
      </c>
      <c r="H16" s="226"/>
      <c r="I16" s="226">
        <v>6</v>
      </c>
      <c r="J16" s="226">
        <v>6</v>
      </c>
    </row>
    <row r="17" spans="1:10" x14ac:dyDescent="0.25">
      <c r="A17" s="224" t="s">
        <v>809</v>
      </c>
      <c r="B17" s="226"/>
      <c r="C17" s="226"/>
      <c r="D17" s="226"/>
      <c r="E17" s="226">
        <v>1</v>
      </c>
      <c r="F17" s="226"/>
      <c r="G17" s="226"/>
      <c r="H17" s="226"/>
      <c r="I17" s="226">
        <v>1</v>
      </c>
      <c r="J17" s="226">
        <v>1</v>
      </c>
    </row>
    <row r="18" spans="1:10" x14ac:dyDescent="0.25">
      <c r="A18" s="224" t="s">
        <v>815</v>
      </c>
      <c r="B18" s="226">
        <v>1</v>
      </c>
      <c r="C18" s="226"/>
      <c r="D18" s="226">
        <v>1</v>
      </c>
      <c r="E18" s="226"/>
      <c r="F18" s="226"/>
      <c r="G18" s="226">
        <v>1</v>
      </c>
      <c r="H18" s="226"/>
      <c r="I18" s="226">
        <v>1</v>
      </c>
      <c r="J18" s="226">
        <v>2</v>
      </c>
    </row>
    <row r="19" spans="1:10" x14ac:dyDescent="0.25">
      <c r="A19" s="224" t="s">
        <v>817</v>
      </c>
      <c r="B19" s="226">
        <v>1</v>
      </c>
      <c r="C19" s="226"/>
      <c r="D19" s="226">
        <v>1</v>
      </c>
      <c r="E19" s="226"/>
      <c r="F19" s="226"/>
      <c r="G19" s="226"/>
      <c r="H19" s="226"/>
      <c r="I19" s="226"/>
      <c r="J19" s="226">
        <v>1</v>
      </c>
    </row>
    <row r="20" spans="1:10" x14ac:dyDescent="0.25">
      <c r="A20" s="224" t="s">
        <v>810</v>
      </c>
      <c r="B20" s="226"/>
      <c r="C20" s="226"/>
      <c r="D20" s="226"/>
      <c r="E20" s="226">
        <v>1</v>
      </c>
      <c r="F20" s="226"/>
      <c r="G20" s="226"/>
      <c r="H20" s="226"/>
      <c r="I20" s="226">
        <v>1</v>
      </c>
      <c r="J20" s="226">
        <v>1</v>
      </c>
    </row>
    <row r="21" spans="1:10" x14ac:dyDescent="0.25">
      <c r="A21" s="224" t="s">
        <v>820</v>
      </c>
      <c r="B21" s="226"/>
      <c r="C21" s="226"/>
      <c r="D21" s="226"/>
      <c r="E21" s="226">
        <v>1</v>
      </c>
      <c r="F21" s="226"/>
      <c r="G21" s="226"/>
      <c r="H21" s="226"/>
      <c r="I21" s="226">
        <v>1</v>
      </c>
      <c r="J21" s="226">
        <v>1</v>
      </c>
    </row>
    <row r="22" spans="1:10" x14ac:dyDescent="0.25">
      <c r="A22" s="224" t="s">
        <v>814</v>
      </c>
      <c r="B22" s="226">
        <v>3</v>
      </c>
      <c r="C22" s="226"/>
      <c r="D22" s="226">
        <v>3</v>
      </c>
      <c r="E22" s="226"/>
      <c r="F22" s="226"/>
      <c r="G22" s="226"/>
      <c r="H22" s="226"/>
      <c r="I22" s="226"/>
      <c r="J22" s="226">
        <v>3</v>
      </c>
    </row>
    <row r="23" spans="1:10" x14ac:dyDescent="0.25">
      <c r="A23" s="224" t="s">
        <v>805</v>
      </c>
      <c r="B23" s="226">
        <v>1</v>
      </c>
      <c r="C23" s="226"/>
      <c r="D23" s="226">
        <v>1</v>
      </c>
      <c r="E23" s="226">
        <v>2</v>
      </c>
      <c r="F23" s="226"/>
      <c r="G23" s="226"/>
      <c r="H23" s="226">
        <v>2</v>
      </c>
      <c r="I23" s="226">
        <v>4</v>
      </c>
      <c r="J23" s="226">
        <v>5</v>
      </c>
    </row>
    <row r="24" spans="1:10" x14ac:dyDescent="0.25">
      <c r="A24" s="224" t="s">
        <v>807</v>
      </c>
      <c r="B24" s="226">
        <v>2</v>
      </c>
      <c r="C24" s="226"/>
      <c r="D24" s="226">
        <v>2</v>
      </c>
      <c r="E24" s="226"/>
      <c r="F24" s="226"/>
      <c r="G24" s="226"/>
      <c r="H24" s="226"/>
      <c r="I24" s="226"/>
      <c r="J24" s="226">
        <v>2</v>
      </c>
    </row>
    <row r="25" spans="1:10" x14ac:dyDescent="0.25">
      <c r="A25" s="224" t="s">
        <v>822</v>
      </c>
      <c r="B25" s="226"/>
      <c r="C25" s="226"/>
      <c r="D25" s="226"/>
      <c r="E25" s="226">
        <v>1</v>
      </c>
      <c r="F25" s="226"/>
      <c r="G25" s="226"/>
      <c r="H25" s="226"/>
      <c r="I25" s="226">
        <v>1</v>
      </c>
      <c r="J25" s="226">
        <v>1</v>
      </c>
    </row>
    <row r="26" spans="1:10" x14ac:dyDescent="0.25">
      <c r="A26" s="224" t="s">
        <v>808</v>
      </c>
      <c r="B26" s="226">
        <v>1</v>
      </c>
      <c r="C26" s="226"/>
      <c r="D26" s="226">
        <v>1</v>
      </c>
      <c r="E26" s="226"/>
      <c r="F26" s="226"/>
      <c r="G26" s="226"/>
      <c r="H26" s="226"/>
      <c r="I26" s="226"/>
      <c r="J26" s="226">
        <v>1</v>
      </c>
    </row>
    <row r="27" spans="1:10" x14ac:dyDescent="0.25">
      <c r="A27" s="224" t="s">
        <v>804</v>
      </c>
      <c r="B27" s="226">
        <v>1</v>
      </c>
      <c r="C27" s="226">
        <v>1</v>
      </c>
      <c r="D27" s="226">
        <v>2</v>
      </c>
      <c r="E27" s="226">
        <v>1</v>
      </c>
      <c r="F27" s="226"/>
      <c r="G27" s="226"/>
      <c r="H27" s="226"/>
      <c r="I27" s="226">
        <v>1</v>
      </c>
      <c r="J27" s="226">
        <v>3</v>
      </c>
    </row>
    <row r="28" spans="1:10" x14ac:dyDescent="0.25">
      <c r="A28" s="224" t="s">
        <v>812</v>
      </c>
      <c r="B28" s="226">
        <v>2</v>
      </c>
      <c r="C28" s="226"/>
      <c r="D28" s="226">
        <v>2</v>
      </c>
      <c r="E28" s="226"/>
      <c r="F28" s="226"/>
      <c r="G28" s="226"/>
      <c r="H28" s="226"/>
      <c r="I28" s="226"/>
      <c r="J28" s="226">
        <v>2</v>
      </c>
    </row>
    <row r="29" spans="1:10" x14ac:dyDescent="0.25">
      <c r="A29" s="224" t="s">
        <v>829</v>
      </c>
      <c r="B29" s="226">
        <v>17</v>
      </c>
      <c r="C29" s="226">
        <v>3</v>
      </c>
      <c r="D29" s="226">
        <v>20</v>
      </c>
      <c r="E29" s="226"/>
      <c r="F29" s="226"/>
      <c r="G29" s="226"/>
      <c r="H29" s="226"/>
      <c r="I29" s="226"/>
      <c r="J29" s="226">
        <v>20</v>
      </c>
    </row>
    <row r="30" spans="1:10" x14ac:dyDescent="0.25">
      <c r="A30" s="224" t="s">
        <v>313</v>
      </c>
      <c r="B30" s="226">
        <v>60</v>
      </c>
      <c r="C30" s="226">
        <v>7</v>
      </c>
      <c r="D30" s="226">
        <v>67</v>
      </c>
      <c r="E30" s="226">
        <v>15</v>
      </c>
      <c r="F30" s="226">
        <v>5</v>
      </c>
      <c r="G30" s="226">
        <v>6</v>
      </c>
      <c r="H30" s="226">
        <v>3</v>
      </c>
      <c r="I30" s="226">
        <v>29</v>
      </c>
      <c r="J30" s="226">
        <v>96</v>
      </c>
    </row>
    <row r="32" spans="1:10" x14ac:dyDescent="0.25">
      <c r="A32" s="224" t="s">
        <v>713</v>
      </c>
    </row>
    <row r="33" spans="1:10" ht="30" x14ac:dyDescent="0.25">
      <c r="A33" s="229" t="s">
        <v>312</v>
      </c>
      <c r="B33" s="229" t="s">
        <v>60</v>
      </c>
      <c r="C33" s="229" t="s">
        <v>210</v>
      </c>
      <c r="D33" s="230" t="s">
        <v>831</v>
      </c>
      <c r="E33" s="229" t="s">
        <v>60</v>
      </c>
      <c r="F33" s="229" t="s">
        <v>495</v>
      </c>
      <c r="G33" s="229" t="s">
        <v>210</v>
      </c>
      <c r="H33" s="229" t="s">
        <v>304</v>
      </c>
      <c r="I33" s="230" t="s">
        <v>832</v>
      </c>
      <c r="J33" s="229" t="s">
        <v>673</v>
      </c>
    </row>
    <row r="34" spans="1:10" x14ac:dyDescent="0.25">
      <c r="A34" s="224" t="s">
        <v>825</v>
      </c>
      <c r="B34" s="226"/>
      <c r="C34" s="226"/>
      <c r="D34" s="228"/>
      <c r="E34" s="226"/>
      <c r="F34" s="226"/>
      <c r="G34" s="226"/>
      <c r="H34" s="226">
        <v>1</v>
      </c>
      <c r="I34" s="228">
        <v>1</v>
      </c>
      <c r="J34" s="226">
        <v>1</v>
      </c>
    </row>
    <row r="35" spans="1:10" x14ac:dyDescent="0.25">
      <c r="A35" s="224" t="s">
        <v>816</v>
      </c>
      <c r="B35" s="226">
        <v>1</v>
      </c>
      <c r="C35" s="226"/>
      <c r="D35" s="228">
        <v>1</v>
      </c>
      <c r="E35" s="226"/>
      <c r="F35" s="226"/>
      <c r="G35" s="226"/>
      <c r="H35" s="226"/>
      <c r="I35" s="228"/>
      <c r="J35" s="226">
        <v>1</v>
      </c>
    </row>
    <row r="36" spans="1:10" x14ac:dyDescent="0.25">
      <c r="A36" s="224" t="s">
        <v>819</v>
      </c>
      <c r="B36" s="226">
        <v>2</v>
      </c>
      <c r="C36" s="226"/>
      <c r="D36" s="228">
        <v>2</v>
      </c>
      <c r="E36" s="226">
        <v>1</v>
      </c>
      <c r="F36" s="226"/>
      <c r="G36" s="226"/>
      <c r="H36" s="226"/>
      <c r="I36" s="228">
        <v>1</v>
      </c>
      <c r="J36" s="226">
        <v>3</v>
      </c>
    </row>
    <row r="37" spans="1:10" x14ac:dyDescent="0.25">
      <c r="A37" s="224" t="s">
        <v>824</v>
      </c>
      <c r="B37" s="226"/>
      <c r="C37" s="226"/>
      <c r="D37" s="228"/>
      <c r="E37" s="226"/>
      <c r="F37" s="226"/>
      <c r="G37" s="226">
        <v>1</v>
      </c>
      <c r="H37" s="226"/>
      <c r="I37" s="228">
        <v>1</v>
      </c>
      <c r="J37" s="226">
        <v>1</v>
      </c>
    </row>
    <row r="38" spans="1:10" x14ac:dyDescent="0.25">
      <c r="A38" s="224" t="s">
        <v>818</v>
      </c>
      <c r="B38" s="226">
        <v>1</v>
      </c>
      <c r="C38" s="226"/>
      <c r="D38" s="228">
        <v>1</v>
      </c>
      <c r="E38" s="226"/>
      <c r="F38" s="226"/>
      <c r="G38" s="226"/>
      <c r="H38" s="226"/>
      <c r="I38" s="228"/>
      <c r="J38" s="226">
        <v>1</v>
      </c>
    </row>
    <row r="39" spans="1:10" x14ac:dyDescent="0.25">
      <c r="A39" s="224" t="s">
        <v>806</v>
      </c>
      <c r="B39" s="226">
        <v>8</v>
      </c>
      <c r="C39" s="226">
        <v>2</v>
      </c>
      <c r="D39" s="228">
        <v>10</v>
      </c>
      <c r="E39" s="226">
        <v>3</v>
      </c>
      <c r="F39" s="226">
        <v>1</v>
      </c>
      <c r="G39" s="226">
        <v>1</v>
      </c>
      <c r="H39" s="226"/>
      <c r="I39" s="228">
        <v>5</v>
      </c>
      <c r="J39" s="226">
        <v>15</v>
      </c>
    </row>
    <row r="40" spans="1:10" x14ac:dyDescent="0.25">
      <c r="A40" s="224" t="s">
        <v>70</v>
      </c>
      <c r="B40" s="226">
        <v>3</v>
      </c>
      <c r="C40" s="226"/>
      <c r="D40" s="228">
        <v>3</v>
      </c>
      <c r="E40" s="226"/>
      <c r="F40" s="226"/>
      <c r="G40" s="226"/>
      <c r="H40" s="226"/>
      <c r="I40" s="228"/>
      <c r="J40" s="226">
        <v>3</v>
      </c>
    </row>
    <row r="41" spans="1:10" x14ac:dyDescent="0.25">
      <c r="A41" s="224" t="s">
        <v>803</v>
      </c>
      <c r="B41" s="226">
        <v>10</v>
      </c>
      <c r="C41" s="226"/>
      <c r="D41" s="228">
        <v>10</v>
      </c>
      <c r="E41" s="226"/>
      <c r="F41" s="226"/>
      <c r="G41" s="226"/>
      <c r="H41" s="226"/>
      <c r="I41" s="228"/>
      <c r="J41" s="226">
        <v>10</v>
      </c>
    </row>
    <row r="42" spans="1:10" x14ac:dyDescent="0.25">
      <c r="A42" s="224" t="s">
        <v>813</v>
      </c>
      <c r="B42" s="226">
        <v>6</v>
      </c>
      <c r="C42" s="226">
        <v>1</v>
      </c>
      <c r="D42" s="228">
        <v>7</v>
      </c>
      <c r="E42" s="226"/>
      <c r="F42" s="226">
        <v>3</v>
      </c>
      <c r="G42" s="226"/>
      <c r="H42" s="226"/>
      <c r="I42" s="228">
        <v>3</v>
      </c>
      <c r="J42" s="226">
        <v>10</v>
      </c>
    </row>
    <row r="43" spans="1:10" x14ac:dyDescent="0.25">
      <c r="A43" s="224" t="s">
        <v>811</v>
      </c>
      <c r="B43" s="226"/>
      <c r="C43" s="226"/>
      <c r="D43" s="228"/>
      <c r="E43" s="226">
        <v>1</v>
      </c>
      <c r="F43" s="226">
        <v>1</v>
      </c>
      <c r="G43" s="226"/>
      <c r="H43" s="226"/>
      <c r="I43" s="228">
        <v>2</v>
      </c>
      <c r="J43" s="226">
        <v>2</v>
      </c>
    </row>
    <row r="44" spans="1:10" x14ac:dyDescent="0.25">
      <c r="A44" s="224" t="s">
        <v>821</v>
      </c>
      <c r="B44" s="226"/>
      <c r="C44" s="226"/>
      <c r="D44" s="228"/>
      <c r="E44" s="226">
        <v>3</v>
      </c>
      <c r="F44" s="226"/>
      <c r="G44" s="226">
        <v>3</v>
      </c>
      <c r="H44" s="226"/>
      <c r="I44" s="228">
        <v>6</v>
      </c>
      <c r="J44" s="226">
        <v>6</v>
      </c>
    </row>
    <row r="45" spans="1:10" x14ac:dyDescent="0.25">
      <c r="A45" s="224" t="s">
        <v>809</v>
      </c>
      <c r="B45" s="226"/>
      <c r="C45" s="226"/>
      <c r="D45" s="228"/>
      <c r="E45" s="226">
        <v>1</v>
      </c>
      <c r="F45" s="226"/>
      <c r="G45" s="226"/>
      <c r="H45" s="226"/>
      <c r="I45" s="228">
        <v>1</v>
      </c>
      <c r="J45" s="226">
        <v>1</v>
      </c>
    </row>
    <row r="46" spans="1:10" x14ac:dyDescent="0.25">
      <c r="A46" s="224" t="s">
        <v>815</v>
      </c>
      <c r="B46" s="226">
        <v>1</v>
      </c>
      <c r="C46" s="226"/>
      <c r="D46" s="228">
        <v>1</v>
      </c>
      <c r="E46" s="226"/>
      <c r="F46" s="226"/>
      <c r="G46" s="226">
        <v>1</v>
      </c>
      <c r="H46" s="226"/>
      <c r="I46" s="228">
        <v>1</v>
      </c>
      <c r="J46" s="226">
        <v>2</v>
      </c>
    </row>
    <row r="47" spans="1:10" x14ac:dyDescent="0.25">
      <c r="A47" s="224" t="s">
        <v>817</v>
      </c>
      <c r="B47" s="226">
        <v>1</v>
      </c>
      <c r="C47" s="226"/>
      <c r="D47" s="228">
        <v>1</v>
      </c>
      <c r="E47" s="226"/>
      <c r="F47" s="226"/>
      <c r="G47" s="226"/>
      <c r="H47" s="226"/>
      <c r="I47" s="228"/>
      <c r="J47" s="226">
        <v>1</v>
      </c>
    </row>
    <row r="48" spans="1:10" x14ac:dyDescent="0.25">
      <c r="A48" s="224" t="s">
        <v>810</v>
      </c>
      <c r="B48" s="226"/>
      <c r="C48" s="226"/>
      <c r="D48" s="228"/>
      <c r="E48" s="226">
        <v>1</v>
      </c>
      <c r="F48" s="226"/>
      <c r="G48" s="226"/>
      <c r="H48" s="226"/>
      <c r="I48" s="228">
        <v>1</v>
      </c>
      <c r="J48" s="226">
        <v>1</v>
      </c>
    </row>
    <row r="49" spans="1:10" x14ac:dyDescent="0.25">
      <c r="A49" s="224" t="s">
        <v>820</v>
      </c>
      <c r="B49" s="226"/>
      <c r="C49" s="226"/>
      <c r="D49" s="228"/>
      <c r="E49" s="226">
        <v>1</v>
      </c>
      <c r="F49" s="226"/>
      <c r="G49" s="226"/>
      <c r="H49" s="226"/>
      <c r="I49" s="228">
        <v>1</v>
      </c>
      <c r="J49" s="226">
        <v>1</v>
      </c>
    </row>
    <row r="50" spans="1:10" x14ac:dyDescent="0.25">
      <c r="A50" s="224" t="s">
        <v>814</v>
      </c>
      <c r="B50" s="226">
        <v>3</v>
      </c>
      <c r="C50" s="226"/>
      <c r="D50" s="228">
        <v>3</v>
      </c>
      <c r="E50" s="226"/>
      <c r="F50" s="226"/>
      <c r="G50" s="226"/>
      <c r="H50" s="226"/>
      <c r="I50" s="228"/>
      <c r="J50" s="226">
        <v>3</v>
      </c>
    </row>
    <row r="51" spans="1:10" x14ac:dyDescent="0.25">
      <c r="A51" s="224" t="s">
        <v>805</v>
      </c>
      <c r="B51" s="226">
        <v>1</v>
      </c>
      <c r="C51" s="226"/>
      <c r="D51" s="228">
        <v>1</v>
      </c>
      <c r="E51" s="226">
        <v>2</v>
      </c>
      <c r="F51" s="226"/>
      <c r="G51" s="226"/>
      <c r="H51" s="226">
        <v>2</v>
      </c>
      <c r="I51" s="228">
        <v>4</v>
      </c>
      <c r="J51" s="226">
        <v>5</v>
      </c>
    </row>
    <row r="52" spans="1:10" x14ac:dyDescent="0.25">
      <c r="A52" s="224" t="s">
        <v>807</v>
      </c>
      <c r="B52" s="226">
        <v>2</v>
      </c>
      <c r="C52" s="226"/>
      <c r="D52" s="228">
        <v>2</v>
      </c>
      <c r="E52" s="226"/>
      <c r="F52" s="226"/>
      <c r="G52" s="226"/>
      <c r="H52" s="226"/>
      <c r="I52" s="228"/>
      <c r="J52" s="226">
        <v>2</v>
      </c>
    </row>
    <row r="53" spans="1:10" x14ac:dyDescent="0.25">
      <c r="A53" s="224" t="s">
        <v>822</v>
      </c>
      <c r="B53" s="226"/>
      <c r="C53" s="226"/>
      <c r="D53" s="228"/>
      <c r="E53" s="226">
        <v>1</v>
      </c>
      <c r="F53" s="226"/>
      <c r="G53" s="226"/>
      <c r="H53" s="226"/>
      <c r="I53" s="228">
        <v>1</v>
      </c>
      <c r="J53" s="226">
        <v>1</v>
      </c>
    </row>
    <row r="54" spans="1:10" x14ac:dyDescent="0.25">
      <c r="A54" s="224" t="s">
        <v>808</v>
      </c>
      <c r="B54" s="226">
        <v>1</v>
      </c>
      <c r="C54" s="226"/>
      <c r="D54" s="228">
        <v>1</v>
      </c>
      <c r="E54" s="226"/>
      <c r="F54" s="226"/>
      <c r="G54" s="226"/>
      <c r="H54" s="226"/>
      <c r="I54" s="228"/>
      <c r="J54" s="226">
        <v>1</v>
      </c>
    </row>
    <row r="55" spans="1:10" x14ac:dyDescent="0.25">
      <c r="A55" s="224" t="s">
        <v>804</v>
      </c>
      <c r="B55" s="226">
        <v>1</v>
      </c>
      <c r="C55" s="226">
        <v>1</v>
      </c>
      <c r="D55" s="228">
        <v>2</v>
      </c>
      <c r="E55" s="226">
        <v>1</v>
      </c>
      <c r="F55" s="226"/>
      <c r="G55" s="226"/>
      <c r="H55" s="226"/>
      <c r="I55" s="228">
        <v>1</v>
      </c>
      <c r="J55" s="226">
        <v>3</v>
      </c>
    </row>
    <row r="56" spans="1:10" x14ac:dyDescent="0.25">
      <c r="A56" s="224" t="s">
        <v>812</v>
      </c>
      <c r="B56" s="226">
        <v>2</v>
      </c>
      <c r="C56" s="226"/>
      <c r="D56" s="228">
        <v>2</v>
      </c>
      <c r="E56" s="226"/>
      <c r="F56" s="226"/>
      <c r="G56" s="226"/>
      <c r="H56" s="226"/>
      <c r="I56" s="228"/>
      <c r="J56" s="226">
        <v>2</v>
      </c>
    </row>
    <row r="57" spans="1:10" x14ac:dyDescent="0.25">
      <c r="A57" s="224" t="s">
        <v>829</v>
      </c>
      <c r="B57" s="226">
        <v>17</v>
      </c>
      <c r="C57" s="226">
        <v>3</v>
      </c>
      <c r="D57" s="228">
        <v>20</v>
      </c>
      <c r="E57" s="226"/>
      <c r="F57" s="226"/>
      <c r="G57" s="226"/>
      <c r="H57" s="226"/>
      <c r="I57" s="228"/>
      <c r="J57" s="226">
        <v>20</v>
      </c>
    </row>
    <row r="58" spans="1:10" x14ac:dyDescent="0.25">
      <c r="A58" s="225" t="s">
        <v>313</v>
      </c>
      <c r="B58" s="227">
        <v>60</v>
      </c>
      <c r="C58" s="227">
        <v>7</v>
      </c>
      <c r="D58" s="227">
        <v>67</v>
      </c>
      <c r="E58" s="227">
        <v>15</v>
      </c>
      <c r="F58" s="227">
        <v>5</v>
      </c>
      <c r="G58" s="227">
        <v>6</v>
      </c>
      <c r="H58" s="227">
        <v>3</v>
      </c>
      <c r="I58" s="227">
        <v>29</v>
      </c>
      <c r="J58" s="227">
        <v>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AH1048576"/>
  <sheetViews>
    <sheetView workbookViewId="0">
      <selection activeCell="E100" sqref="E100"/>
    </sheetView>
  </sheetViews>
  <sheetFormatPr baseColWidth="10" defaultRowHeight="15" x14ac:dyDescent="0.25"/>
  <cols>
    <col min="1" max="1" width="10.42578125" customWidth="1"/>
    <col min="3" max="3" width="27.42578125" customWidth="1"/>
    <col min="4" max="4" width="49.5703125" customWidth="1"/>
    <col min="5" max="5" width="15.7109375" customWidth="1"/>
    <col min="6" max="6" width="7.85546875" customWidth="1"/>
    <col min="7" max="7" width="10.140625" customWidth="1"/>
    <col min="8" max="8" width="9.42578125" customWidth="1"/>
    <col min="9" max="9" width="6.140625" customWidth="1"/>
    <col min="10" max="10" width="9.7109375" customWidth="1"/>
    <col min="11" max="11" width="10" customWidth="1"/>
    <col min="13" max="13" width="7.7109375" customWidth="1"/>
    <col min="14" max="14" width="8" customWidth="1"/>
  </cols>
  <sheetData>
    <row r="1" spans="1:34" ht="30.75" customHeight="1" thickBot="1" x14ac:dyDescent="0.3">
      <c r="A1" s="65" t="s">
        <v>325</v>
      </c>
      <c r="B1" s="66" t="s">
        <v>326</v>
      </c>
      <c r="C1" s="66" t="s">
        <v>607</v>
      </c>
      <c r="D1" s="67" t="s">
        <v>327</v>
      </c>
      <c r="E1" s="67" t="s">
        <v>6</v>
      </c>
      <c r="F1" s="66" t="s">
        <v>322</v>
      </c>
      <c r="G1" s="66" t="s">
        <v>7</v>
      </c>
      <c r="H1" s="66" t="s">
        <v>8</v>
      </c>
      <c r="I1" s="67" t="s">
        <v>328</v>
      </c>
      <c r="J1" s="66" t="s">
        <v>329</v>
      </c>
      <c r="K1" s="67" t="s">
        <v>330</v>
      </c>
      <c r="L1" s="67" t="s">
        <v>331</v>
      </c>
      <c r="M1" s="67" t="s">
        <v>332</v>
      </c>
      <c r="N1" s="68" t="s">
        <v>333</v>
      </c>
      <c r="O1" s="97"/>
      <c r="P1" s="97"/>
      <c r="Q1" s="97"/>
      <c r="R1" s="97"/>
      <c r="S1" s="97"/>
      <c r="T1" s="97"/>
      <c r="U1" s="97"/>
      <c r="V1" s="97"/>
      <c r="W1" s="97"/>
      <c r="X1" s="97"/>
      <c r="Y1" s="97"/>
      <c r="Z1" s="97"/>
      <c r="AA1" s="97"/>
      <c r="AB1" s="97"/>
      <c r="AC1" s="97"/>
      <c r="AD1" s="97"/>
      <c r="AE1" s="97"/>
      <c r="AF1" s="97"/>
      <c r="AG1" s="97"/>
      <c r="AH1" s="97"/>
    </row>
    <row r="2" spans="1:34" ht="66.75" customHeight="1" thickTop="1" x14ac:dyDescent="0.25">
      <c r="A2" s="69" t="s">
        <v>334</v>
      </c>
      <c r="B2" s="70" t="s">
        <v>343</v>
      </c>
      <c r="C2" s="71" t="s">
        <v>608</v>
      </c>
      <c r="D2" s="71" t="s">
        <v>344</v>
      </c>
      <c r="E2" s="71" t="s">
        <v>829</v>
      </c>
      <c r="F2" s="70" t="s">
        <v>60</v>
      </c>
      <c r="G2" s="70" t="s">
        <v>75</v>
      </c>
      <c r="H2" s="70" t="s">
        <v>81</v>
      </c>
      <c r="I2" s="72" t="s">
        <v>342</v>
      </c>
      <c r="J2" s="70" t="s">
        <v>336</v>
      </c>
      <c r="K2" s="70">
        <v>32003.200000000001</v>
      </c>
      <c r="L2" s="70">
        <v>8000.8</v>
      </c>
      <c r="M2" s="70">
        <v>0</v>
      </c>
      <c r="N2" s="73">
        <v>40004</v>
      </c>
    </row>
    <row r="3" spans="1:34" ht="66.75" customHeight="1" x14ac:dyDescent="0.25">
      <c r="A3" s="74" t="s">
        <v>334</v>
      </c>
      <c r="B3" s="75" t="s">
        <v>345</v>
      </c>
      <c r="C3" s="76" t="s">
        <v>615</v>
      </c>
      <c r="D3" s="76" t="s">
        <v>346</v>
      </c>
      <c r="E3" s="71" t="s">
        <v>829</v>
      </c>
      <c r="F3" s="75" t="s">
        <v>60</v>
      </c>
      <c r="G3" s="75" t="s">
        <v>75</v>
      </c>
      <c r="H3" s="75" t="s">
        <v>81</v>
      </c>
      <c r="I3" s="77" t="s">
        <v>342</v>
      </c>
      <c r="J3" s="75" t="s">
        <v>336</v>
      </c>
      <c r="K3" s="75">
        <v>32003.200000000001</v>
      </c>
      <c r="L3" s="75">
        <v>8000.8</v>
      </c>
      <c r="M3" s="75">
        <v>0</v>
      </c>
      <c r="N3" s="78">
        <v>40004</v>
      </c>
    </row>
    <row r="4" spans="1:34" ht="66.75" customHeight="1" x14ac:dyDescent="0.25">
      <c r="A4" s="69" t="s">
        <v>334</v>
      </c>
      <c r="B4" s="70" t="s">
        <v>347</v>
      </c>
      <c r="C4" s="71" t="s">
        <v>616</v>
      </c>
      <c r="D4" s="71" t="s">
        <v>348</v>
      </c>
      <c r="E4" s="71" t="s">
        <v>803</v>
      </c>
      <c r="F4" s="70" t="s">
        <v>60</v>
      </c>
      <c r="G4" s="70" t="s">
        <v>75</v>
      </c>
      <c r="H4" s="70" t="s">
        <v>81</v>
      </c>
      <c r="I4" s="72" t="s">
        <v>342</v>
      </c>
      <c r="J4" s="70" t="s">
        <v>336</v>
      </c>
      <c r="K4" s="70">
        <v>33432</v>
      </c>
      <c r="L4" s="70">
        <v>8358</v>
      </c>
      <c r="M4" s="70">
        <v>0</v>
      </c>
      <c r="N4" s="73">
        <v>41790</v>
      </c>
    </row>
    <row r="5" spans="1:34" ht="66.75" customHeight="1" x14ac:dyDescent="0.25">
      <c r="A5" s="74" t="s">
        <v>334</v>
      </c>
      <c r="B5" s="75" t="s">
        <v>349</v>
      </c>
      <c r="C5" s="76" t="s">
        <v>609</v>
      </c>
      <c r="D5" s="76" t="s">
        <v>350</v>
      </c>
      <c r="E5" s="76" t="s">
        <v>803</v>
      </c>
      <c r="F5" s="75" t="s">
        <v>60</v>
      </c>
      <c r="G5" s="75" t="s">
        <v>75</v>
      </c>
      <c r="H5" s="75" t="s">
        <v>81</v>
      </c>
      <c r="I5" s="77" t="s">
        <v>342</v>
      </c>
      <c r="J5" s="75" t="s">
        <v>336</v>
      </c>
      <c r="K5" s="75">
        <v>33432</v>
      </c>
      <c r="L5" s="75">
        <v>8358</v>
      </c>
      <c r="M5" s="75">
        <v>0</v>
      </c>
      <c r="N5" s="78">
        <v>41790</v>
      </c>
    </row>
    <row r="6" spans="1:34" ht="66.75" customHeight="1" x14ac:dyDescent="0.25">
      <c r="A6" s="69" t="s">
        <v>337</v>
      </c>
      <c r="B6" s="70" t="s">
        <v>351</v>
      </c>
      <c r="C6" s="71" t="s">
        <v>617</v>
      </c>
      <c r="D6" s="71" t="s">
        <v>352</v>
      </c>
      <c r="E6" s="71" t="s">
        <v>70</v>
      </c>
      <c r="F6" s="70" t="s">
        <v>60</v>
      </c>
      <c r="G6" s="70" t="s">
        <v>75</v>
      </c>
      <c r="H6" s="70" t="s">
        <v>81</v>
      </c>
      <c r="I6" s="72" t="s">
        <v>342</v>
      </c>
      <c r="J6" s="70" t="s">
        <v>336</v>
      </c>
      <c r="K6" s="70">
        <v>33664</v>
      </c>
      <c r="L6" s="70">
        <v>8416</v>
      </c>
      <c r="M6" s="70">
        <v>0</v>
      </c>
      <c r="N6" s="73">
        <v>42080</v>
      </c>
    </row>
    <row r="7" spans="1:34" ht="66.75" customHeight="1" x14ac:dyDescent="0.25">
      <c r="A7" s="74" t="s">
        <v>337</v>
      </c>
      <c r="B7" s="75" t="s">
        <v>353</v>
      </c>
      <c r="C7" s="76" t="s">
        <v>610</v>
      </c>
      <c r="D7" s="76" t="s">
        <v>354</v>
      </c>
      <c r="E7" s="76" t="s">
        <v>804</v>
      </c>
      <c r="F7" s="75" t="s">
        <v>60</v>
      </c>
      <c r="G7" s="75" t="s">
        <v>75</v>
      </c>
      <c r="H7" s="75" t="s">
        <v>81</v>
      </c>
      <c r="I7" s="77" t="s">
        <v>342</v>
      </c>
      <c r="J7" s="75" t="s">
        <v>336</v>
      </c>
      <c r="K7" s="75">
        <v>33664</v>
      </c>
      <c r="L7" s="75">
        <v>8416</v>
      </c>
      <c r="M7" s="75">
        <v>0</v>
      </c>
      <c r="N7" s="78">
        <v>42080</v>
      </c>
    </row>
    <row r="8" spans="1:34" ht="66.75" customHeight="1" x14ac:dyDescent="0.25">
      <c r="A8" s="69" t="s">
        <v>337</v>
      </c>
      <c r="B8" s="70" t="s">
        <v>355</v>
      </c>
      <c r="C8" s="71" t="s">
        <v>611</v>
      </c>
      <c r="D8" s="71" t="s">
        <v>356</v>
      </c>
      <c r="E8" s="71" t="s">
        <v>829</v>
      </c>
      <c r="F8" s="70" t="s">
        <v>60</v>
      </c>
      <c r="G8" s="70" t="s">
        <v>75</v>
      </c>
      <c r="H8" s="70" t="s">
        <v>81</v>
      </c>
      <c r="I8" s="72" t="s">
        <v>342</v>
      </c>
      <c r="J8" s="70" t="s">
        <v>336</v>
      </c>
      <c r="K8" s="70">
        <v>33600</v>
      </c>
      <c r="L8" s="70">
        <v>8400</v>
      </c>
      <c r="M8" s="70">
        <v>0</v>
      </c>
      <c r="N8" s="73">
        <v>42000</v>
      </c>
    </row>
    <row r="9" spans="1:34" ht="66.75" customHeight="1" x14ac:dyDescent="0.25">
      <c r="A9" s="74" t="s">
        <v>337</v>
      </c>
      <c r="B9" s="75" t="s">
        <v>357</v>
      </c>
      <c r="C9" s="76" t="s">
        <v>618</v>
      </c>
      <c r="D9" s="76" t="s">
        <v>358</v>
      </c>
      <c r="E9" s="71" t="s">
        <v>829</v>
      </c>
      <c r="F9" s="75" t="s">
        <v>60</v>
      </c>
      <c r="G9" s="75" t="s">
        <v>75</v>
      </c>
      <c r="H9" s="75" t="s">
        <v>81</v>
      </c>
      <c r="I9" s="77" t="s">
        <v>342</v>
      </c>
      <c r="J9" s="75" t="s">
        <v>336</v>
      </c>
      <c r="K9" s="75">
        <v>33650</v>
      </c>
      <c r="L9" s="75">
        <v>8413</v>
      </c>
      <c r="M9" s="75">
        <v>0</v>
      </c>
      <c r="N9" s="78">
        <v>42063</v>
      </c>
    </row>
    <row r="10" spans="1:34" ht="66.75" customHeight="1" x14ac:dyDescent="0.25">
      <c r="A10" s="69" t="s">
        <v>337</v>
      </c>
      <c r="B10" s="70" t="s">
        <v>359</v>
      </c>
      <c r="C10" s="71" t="s">
        <v>612</v>
      </c>
      <c r="D10" s="71" t="s">
        <v>360</v>
      </c>
      <c r="E10" s="71" t="s">
        <v>829</v>
      </c>
      <c r="F10" s="70" t="s">
        <v>60</v>
      </c>
      <c r="G10" s="70" t="s">
        <v>75</v>
      </c>
      <c r="H10" s="70" t="s">
        <v>81</v>
      </c>
      <c r="I10" s="72" t="s">
        <v>342</v>
      </c>
      <c r="J10" s="70" t="s">
        <v>336</v>
      </c>
      <c r="K10" s="70">
        <v>33650</v>
      </c>
      <c r="L10" s="70">
        <v>8412</v>
      </c>
      <c r="M10" s="70">
        <v>0</v>
      </c>
      <c r="N10" s="73">
        <v>42062</v>
      </c>
    </row>
    <row r="11" spans="1:34" ht="66.75" customHeight="1" x14ac:dyDescent="0.25">
      <c r="A11" s="74" t="s">
        <v>337</v>
      </c>
      <c r="B11" s="75" t="s">
        <v>361</v>
      </c>
      <c r="C11" s="76" t="s">
        <v>619</v>
      </c>
      <c r="D11" s="76" t="s">
        <v>362</v>
      </c>
      <c r="E11" s="71" t="s">
        <v>829</v>
      </c>
      <c r="F11" s="75" t="s">
        <v>60</v>
      </c>
      <c r="G11" s="75" t="s">
        <v>75</v>
      </c>
      <c r="H11" s="75" t="s">
        <v>81</v>
      </c>
      <c r="I11" s="77" t="s">
        <v>342</v>
      </c>
      <c r="J11" s="75" t="s">
        <v>336</v>
      </c>
      <c r="K11" s="75">
        <v>33650</v>
      </c>
      <c r="L11" s="75">
        <v>8413</v>
      </c>
      <c r="M11" s="75">
        <v>0</v>
      </c>
      <c r="N11" s="78">
        <v>42063</v>
      </c>
    </row>
    <row r="12" spans="1:34" ht="66.75" customHeight="1" x14ac:dyDescent="0.25">
      <c r="A12" s="69" t="s">
        <v>339</v>
      </c>
      <c r="B12" s="70" t="s">
        <v>363</v>
      </c>
      <c r="C12" s="71" t="s">
        <v>620</v>
      </c>
      <c r="D12" s="71" t="s">
        <v>364</v>
      </c>
      <c r="E12" s="71" t="s">
        <v>805</v>
      </c>
      <c r="F12" s="70" t="s">
        <v>60</v>
      </c>
      <c r="G12" s="70" t="s">
        <v>75</v>
      </c>
      <c r="H12" s="70" t="s">
        <v>81</v>
      </c>
      <c r="I12" s="72" t="s">
        <v>342</v>
      </c>
      <c r="J12" s="70" t="s">
        <v>336</v>
      </c>
      <c r="K12" s="70">
        <v>39518.400000000001</v>
      </c>
      <c r="L12" s="70">
        <v>9879.6</v>
      </c>
      <c r="M12" s="70">
        <v>0</v>
      </c>
      <c r="N12" s="73">
        <v>49398</v>
      </c>
    </row>
    <row r="13" spans="1:34" ht="66.75" customHeight="1" x14ac:dyDescent="0.25">
      <c r="A13" s="74" t="s">
        <v>339</v>
      </c>
      <c r="B13" s="75" t="s">
        <v>365</v>
      </c>
      <c r="C13" s="76" t="s">
        <v>621</v>
      </c>
      <c r="D13" s="76" t="s">
        <v>366</v>
      </c>
      <c r="E13" s="76" t="s">
        <v>803</v>
      </c>
      <c r="F13" s="75" t="s">
        <v>60</v>
      </c>
      <c r="G13" s="75" t="s">
        <v>75</v>
      </c>
      <c r="H13" s="75" t="s">
        <v>81</v>
      </c>
      <c r="I13" s="77" t="s">
        <v>342</v>
      </c>
      <c r="J13" s="75" t="s">
        <v>336</v>
      </c>
      <c r="K13" s="75">
        <v>39518.400000000001</v>
      </c>
      <c r="L13" s="75">
        <v>9879.6</v>
      </c>
      <c r="M13" s="75">
        <v>0</v>
      </c>
      <c r="N13" s="78">
        <v>49398</v>
      </c>
    </row>
    <row r="14" spans="1:34" ht="66.75" customHeight="1" x14ac:dyDescent="0.25">
      <c r="A14" s="69" t="s">
        <v>339</v>
      </c>
      <c r="B14" s="70" t="s">
        <v>367</v>
      </c>
      <c r="C14" s="71" t="s">
        <v>622</v>
      </c>
      <c r="D14" s="71" t="s">
        <v>368</v>
      </c>
      <c r="E14" s="71" t="s">
        <v>829</v>
      </c>
      <c r="F14" s="70" t="s">
        <v>60</v>
      </c>
      <c r="G14" s="70" t="s">
        <v>75</v>
      </c>
      <c r="H14" s="70" t="s">
        <v>81</v>
      </c>
      <c r="I14" s="72" t="s">
        <v>342</v>
      </c>
      <c r="J14" s="70" t="s">
        <v>336</v>
      </c>
      <c r="K14" s="70">
        <v>39518.400000000001</v>
      </c>
      <c r="L14" s="70">
        <v>9879.6</v>
      </c>
      <c r="M14" s="70">
        <v>0</v>
      </c>
      <c r="N14" s="73">
        <v>49398</v>
      </c>
    </row>
    <row r="15" spans="1:34" ht="66.75" customHeight="1" x14ac:dyDescent="0.25">
      <c r="A15" s="74" t="s">
        <v>339</v>
      </c>
      <c r="B15" s="75" t="s">
        <v>369</v>
      </c>
      <c r="C15" s="76" t="s">
        <v>613</v>
      </c>
      <c r="D15" s="76" t="s">
        <v>370</v>
      </c>
      <c r="E15" s="76" t="s">
        <v>806</v>
      </c>
      <c r="F15" s="75" t="s">
        <v>60</v>
      </c>
      <c r="G15" s="75" t="s">
        <v>75</v>
      </c>
      <c r="H15" s="75" t="s">
        <v>81</v>
      </c>
      <c r="I15" s="77" t="s">
        <v>342</v>
      </c>
      <c r="J15" s="75" t="s">
        <v>336</v>
      </c>
      <c r="K15" s="75">
        <v>39518.400000000001</v>
      </c>
      <c r="L15" s="75">
        <v>9879.6</v>
      </c>
      <c r="M15" s="75">
        <v>0</v>
      </c>
      <c r="N15" s="78">
        <v>49398</v>
      </c>
    </row>
    <row r="16" spans="1:34" ht="66.75" customHeight="1" x14ac:dyDescent="0.25">
      <c r="A16" s="69" t="s">
        <v>340</v>
      </c>
      <c r="B16" s="70" t="s">
        <v>371</v>
      </c>
      <c r="C16" s="71" t="s">
        <v>623</v>
      </c>
      <c r="D16" s="71" t="s">
        <v>372</v>
      </c>
      <c r="E16" s="71" t="s">
        <v>803</v>
      </c>
      <c r="F16" s="70" t="s">
        <v>60</v>
      </c>
      <c r="G16" s="70" t="s">
        <v>75</v>
      </c>
      <c r="H16" s="70" t="s">
        <v>81</v>
      </c>
      <c r="I16" s="72" t="s">
        <v>342</v>
      </c>
      <c r="J16" s="70" t="s">
        <v>336</v>
      </c>
      <c r="K16" s="70">
        <v>39518.400000000001</v>
      </c>
      <c r="L16" s="70">
        <v>9879.6</v>
      </c>
      <c r="M16" s="70">
        <v>0</v>
      </c>
      <c r="N16" s="73">
        <v>49398</v>
      </c>
    </row>
    <row r="17" spans="1:14" ht="66.75" customHeight="1" x14ac:dyDescent="0.25">
      <c r="A17" s="74" t="s">
        <v>340</v>
      </c>
      <c r="B17" s="75" t="s">
        <v>373</v>
      </c>
      <c r="C17" s="76" t="s">
        <v>624</v>
      </c>
      <c r="D17" s="76" t="s">
        <v>374</v>
      </c>
      <c r="E17" s="76" t="s">
        <v>807</v>
      </c>
      <c r="F17" s="75" t="s">
        <v>60</v>
      </c>
      <c r="G17" s="75" t="s">
        <v>75</v>
      </c>
      <c r="H17" s="75" t="s">
        <v>81</v>
      </c>
      <c r="I17" s="77" t="s">
        <v>342</v>
      </c>
      <c r="J17" s="75" t="s">
        <v>336</v>
      </c>
      <c r="K17" s="75">
        <v>39518.400000000001</v>
      </c>
      <c r="L17" s="75">
        <v>9879.6</v>
      </c>
      <c r="M17" s="75">
        <v>0</v>
      </c>
      <c r="N17" s="78">
        <v>49398</v>
      </c>
    </row>
    <row r="18" spans="1:14" ht="66.75" customHeight="1" x14ac:dyDescent="0.25">
      <c r="A18" s="69" t="s">
        <v>340</v>
      </c>
      <c r="B18" s="70" t="s">
        <v>375</v>
      </c>
      <c r="C18" s="71" t="s">
        <v>625</v>
      </c>
      <c r="D18" s="71" t="s">
        <v>376</v>
      </c>
      <c r="E18" s="71" t="s">
        <v>808</v>
      </c>
      <c r="F18" s="70" t="s">
        <v>60</v>
      </c>
      <c r="G18" s="70" t="s">
        <v>75</v>
      </c>
      <c r="H18" s="70" t="s">
        <v>81</v>
      </c>
      <c r="I18" s="72" t="s">
        <v>342</v>
      </c>
      <c r="J18" s="70" t="s">
        <v>336</v>
      </c>
      <c r="K18" s="70">
        <v>39518.400000000001</v>
      </c>
      <c r="L18" s="70">
        <v>9879.6</v>
      </c>
      <c r="M18" s="70">
        <v>0</v>
      </c>
      <c r="N18" s="73">
        <v>49398</v>
      </c>
    </row>
    <row r="19" spans="1:14" ht="66.75" customHeight="1" x14ac:dyDescent="0.25">
      <c r="A19" s="74" t="s">
        <v>340</v>
      </c>
      <c r="B19" s="75" t="s">
        <v>377</v>
      </c>
      <c r="C19" s="76" t="s">
        <v>614</v>
      </c>
      <c r="D19" s="76" t="s">
        <v>378</v>
      </c>
      <c r="E19" s="76" t="s">
        <v>803</v>
      </c>
      <c r="F19" s="75" t="s">
        <v>60</v>
      </c>
      <c r="G19" s="75" t="s">
        <v>75</v>
      </c>
      <c r="H19" s="75" t="s">
        <v>81</v>
      </c>
      <c r="I19" s="77" t="s">
        <v>342</v>
      </c>
      <c r="J19" s="75" t="s">
        <v>336</v>
      </c>
      <c r="K19" s="75">
        <v>39518.400000000001</v>
      </c>
      <c r="L19" s="75">
        <v>9879.6</v>
      </c>
      <c r="M19" s="75">
        <v>0</v>
      </c>
      <c r="N19" s="78">
        <v>49398</v>
      </c>
    </row>
    <row r="20" spans="1:14" ht="66.75" customHeight="1" x14ac:dyDescent="0.25">
      <c r="A20" s="69" t="s">
        <v>340</v>
      </c>
      <c r="B20" s="70" t="s">
        <v>379</v>
      </c>
      <c r="C20" s="71" t="s">
        <v>626</v>
      </c>
      <c r="D20" s="71" t="s">
        <v>380</v>
      </c>
      <c r="E20" s="71" t="s">
        <v>806</v>
      </c>
      <c r="F20" s="70" t="s">
        <v>60</v>
      </c>
      <c r="G20" s="70" t="s">
        <v>75</v>
      </c>
      <c r="H20" s="70" t="s">
        <v>81</v>
      </c>
      <c r="I20" s="72" t="s">
        <v>342</v>
      </c>
      <c r="J20" s="70" t="s">
        <v>336</v>
      </c>
      <c r="K20" s="70">
        <v>39518.400000000001</v>
      </c>
      <c r="L20" s="70">
        <v>9879.6</v>
      </c>
      <c r="M20" s="70">
        <v>0</v>
      </c>
      <c r="N20" s="73">
        <v>49398</v>
      </c>
    </row>
    <row r="21" spans="1:14" ht="66.75" customHeight="1" x14ac:dyDescent="0.25">
      <c r="A21" s="74" t="s">
        <v>340</v>
      </c>
      <c r="B21" s="75" t="s">
        <v>381</v>
      </c>
      <c r="C21" s="76" t="s">
        <v>627</v>
      </c>
      <c r="D21" s="76" t="s">
        <v>382</v>
      </c>
      <c r="E21" s="76" t="s">
        <v>806</v>
      </c>
      <c r="F21" s="75" t="s">
        <v>60</v>
      </c>
      <c r="G21" s="75" t="s">
        <v>75</v>
      </c>
      <c r="H21" s="75" t="s">
        <v>81</v>
      </c>
      <c r="I21" s="77" t="s">
        <v>342</v>
      </c>
      <c r="J21" s="75" t="s">
        <v>336</v>
      </c>
      <c r="K21" s="75">
        <v>39518.400000000001</v>
      </c>
      <c r="L21" s="75">
        <v>9879.6</v>
      </c>
      <c r="M21" s="75">
        <v>0</v>
      </c>
      <c r="N21" s="78">
        <v>49398</v>
      </c>
    </row>
    <row r="22" spans="1:14" ht="66.75" customHeight="1" x14ac:dyDescent="0.25">
      <c r="A22" s="69" t="s">
        <v>340</v>
      </c>
      <c r="B22" s="70" t="s">
        <v>383</v>
      </c>
      <c r="C22" s="71" t="s">
        <v>628</v>
      </c>
      <c r="D22" s="71" t="s">
        <v>384</v>
      </c>
      <c r="E22" s="71" t="s">
        <v>803</v>
      </c>
      <c r="F22" s="70" t="s">
        <v>60</v>
      </c>
      <c r="G22" s="70" t="s">
        <v>75</v>
      </c>
      <c r="H22" s="70" t="s">
        <v>81</v>
      </c>
      <c r="I22" s="72" t="s">
        <v>342</v>
      </c>
      <c r="J22" s="70" t="s">
        <v>336</v>
      </c>
      <c r="K22" s="70">
        <v>39518.400000000001</v>
      </c>
      <c r="L22" s="70">
        <v>9879.6</v>
      </c>
      <c r="M22" s="70">
        <v>0</v>
      </c>
      <c r="N22" s="73">
        <v>49398</v>
      </c>
    </row>
    <row r="23" spans="1:14" ht="66.75" customHeight="1" x14ac:dyDescent="0.25">
      <c r="A23" s="74" t="s">
        <v>340</v>
      </c>
      <c r="B23" s="75" t="s">
        <v>385</v>
      </c>
      <c r="C23" s="76" t="s">
        <v>629</v>
      </c>
      <c r="D23" s="76" t="s">
        <v>386</v>
      </c>
      <c r="E23" s="76" t="s">
        <v>803</v>
      </c>
      <c r="F23" s="75" t="s">
        <v>60</v>
      </c>
      <c r="G23" s="75" t="s">
        <v>75</v>
      </c>
      <c r="H23" s="75" t="s">
        <v>81</v>
      </c>
      <c r="I23" s="77" t="s">
        <v>342</v>
      </c>
      <c r="J23" s="75" t="s">
        <v>336</v>
      </c>
      <c r="K23" s="75">
        <v>39518.400000000001</v>
      </c>
      <c r="L23" s="75">
        <v>9879.6</v>
      </c>
      <c r="M23" s="75">
        <v>0</v>
      </c>
      <c r="N23" s="78">
        <v>49398</v>
      </c>
    </row>
    <row r="24" spans="1:14" ht="66.75" customHeight="1" x14ac:dyDescent="0.25">
      <c r="A24" s="69" t="s">
        <v>340</v>
      </c>
      <c r="B24" s="70" t="s">
        <v>387</v>
      </c>
      <c r="C24" s="71" t="s">
        <v>630</v>
      </c>
      <c r="D24" s="71" t="s">
        <v>388</v>
      </c>
      <c r="E24" s="71" t="s">
        <v>803</v>
      </c>
      <c r="F24" s="70" t="s">
        <v>60</v>
      </c>
      <c r="G24" s="70" t="s">
        <v>75</v>
      </c>
      <c r="H24" s="70" t="s">
        <v>81</v>
      </c>
      <c r="I24" s="72" t="s">
        <v>342</v>
      </c>
      <c r="J24" s="70" t="s">
        <v>336</v>
      </c>
      <c r="K24" s="70">
        <v>39518.400000000001</v>
      </c>
      <c r="L24" s="70">
        <v>9879.6</v>
      </c>
      <c r="M24" s="70">
        <v>0</v>
      </c>
      <c r="N24" s="73">
        <v>49398</v>
      </c>
    </row>
    <row r="25" spans="1:14" ht="66.75" customHeight="1" x14ac:dyDescent="0.25">
      <c r="A25" s="74" t="s">
        <v>340</v>
      </c>
      <c r="B25" s="75" t="s">
        <v>389</v>
      </c>
      <c r="C25" s="76" t="s">
        <v>631</v>
      </c>
      <c r="D25" s="76" t="s">
        <v>390</v>
      </c>
      <c r="E25" s="76" t="s">
        <v>803</v>
      </c>
      <c r="F25" s="75" t="s">
        <v>60</v>
      </c>
      <c r="G25" s="75" t="s">
        <v>75</v>
      </c>
      <c r="H25" s="75" t="s">
        <v>81</v>
      </c>
      <c r="I25" s="77" t="s">
        <v>342</v>
      </c>
      <c r="J25" s="75" t="s">
        <v>336</v>
      </c>
      <c r="K25" s="75">
        <v>39518.400000000001</v>
      </c>
      <c r="L25" s="75">
        <v>9879.6</v>
      </c>
      <c r="M25" s="75">
        <v>0</v>
      </c>
      <c r="N25" s="78">
        <v>49398</v>
      </c>
    </row>
    <row r="26" spans="1:14" ht="66.75" customHeight="1" x14ac:dyDescent="0.25">
      <c r="A26" s="69" t="s">
        <v>341</v>
      </c>
      <c r="B26" s="70" t="s">
        <v>391</v>
      </c>
      <c r="C26" s="71" t="s">
        <v>632</v>
      </c>
      <c r="D26" s="71" t="s">
        <v>392</v>
      </c>
      <c r="E26" s="71" t="s">
        <v>70</v>
      </c>
      <c r="F26" s="70" t="s">
        <v>60</v>
      </c>
      <c r="G26" s="70" t="s">
        <v>75</v>
      </c>
      <c r="H26" s="70" t="s">
        <v>81</v>
      </c>
      <c r="I26" s="72" t="s">
        <v>342</v>
      </c>
      <c r="J26" s="70" t="s">
        <v>336</v>
      </c>
      <c r="K26" s="70">
        <v>39518.400000000001</v>
      </c>
      <c r="L26" s="70">
        <v>9879.6</v>
      </c>
      <c r="M26" s="70">
        <v>0</v>
      </c>
      <c r="N26" s="73">
        <v>49398</v>
      </c>
    </row>
    <row r="27" spans="1:14" ht="66.75" customHeight="1" x14ac:dyDescent="0.25">
      <c r="A27" s="74" t="s">
        <v>334</v>
      </c>
      <c r="B27" s="75" t="s">
        <v>393</v>
      </c>
      <c r="C27" s="76" t="s">
        <v>633</v>
      </c>
      <c r="D27" s="76" t="s">
        <v>394</v>
      </c>
      <c r="E27" s="76" t="s">
        <v>809</v>
      </c>
      <c r="F27" s="75" t="s">
        <v>60</v>
      </c>
      <c r="G27" s="75" t="s">
        <v>75</v>
      </c>
      <c r="H27" s="75" t="s">
        <v>81</v>
      </c>
      <c r="I27" s="77" t="s">
        <v>335</v>
      </c>
      <c r="J27" s="75" t="s">
        <v>336</v>
      </c>
      <c r="K27" s="75">
        <v>57736.7</v>
      </c>
      <c r="L27" s="75">
        <v>24744.3</v>
      </c>
      <c r="M27" s="75">
        <v>0</v>
      </c>
      <c r="N27" s="78">
        <v>82481</v>
      </c>
    </row>
    <row r="28" spans="1:14" ht="66.75" customHeight="1" x14ac:dyDescent="0.25">
      <c r="A28" s="69" t="s">
        <v>334</v>
      </c>
      <c r="B28" s="70" t="s">
        <v>395</v>
      </c>
      <c r="C28" s="71" t="s">
        <v>633</v>
      </c>
      <c r="D28" s="71" t="s">
        <v>396</v>
      </c>
      <c r="E28" s="71" t="s">
        <v>810</v>
      </c>
      <c r="F28" s="70" t="s">
        <v>60</v>
      </c>
      <c r="G28" s="70" t="s">
        <v>75</v>
      </c>
      <c r="H28" s="70" t="s">
        <v>81</v>
      </c>
      <c r="I28" s="72" t="s">
        <v>335</v>
      </c>
      <c r="J28" s="70" t="s">
        <v>336</v>
      </c>
      <c r="K28" s="70">
        <v>39284.699999999997</v>
      </c>
      <c r="L28" s="70">
        <v>16836.3</v>
      </c>
      <c r="M28" s="70">
        <v>0</v>
      </c>
      <c r="N28" s="73">
        <v>56121</v>
      </c>
    </row>
    <row r="29" spans="1:14" ht="66.75" customHeight="1" x14ac:dyDescent="0.25">
      <c r="A29" s="74" t="s">
        <v>337</v>
      </c>
      <c r="B29" s="75" t="s">
        <v>397</v>
      </c>
      <c r="C29" s="76" t="s">
        <v>634</v>
      </c>
      <c r="D29" s="76" t="s">
        <v>398</v>
      </c>
      <c r="E29" s="76" t="s">
        <v>811</v>
      </c>
      <c r="F29" s="75" t="s">
        <v>60</v>
      </c>
      <c r="G29" s="75" t="s">
        <v>75</v>
      </c>
      <c r="H29" s="75" t="s">
        <v>81</v>
      </c>
      <c r="I29" s="77" t="s">
        <v>335</v>
      </c>
      <c r="J29" s="75" t="s">
        <v>336</v>
      </c>
      <c r="K29" s="75">
        <v>39795</v>
      </c>
      <c r="L29" s="75">
        <v>17055</v>
      </c>
      <c r="M29" s="75">
        <v>0</v>
      </c>
      <c r="N29" s="78">
        <v>56850</v>
      </c>
    </row>
    <row r="30" spans="1:14" ht="66.75" customHeight="1" x14ac:dyDescent="0.25">
      <c r="A30" s="69" t="s">
        <v>339</v>
      </c>
      <c r="B30" s="70" t="s">
        <v>399</v>
      </c>
      <c r="C30" s="71" t="s">
        <v>635</v>
      </c>
      <c r="D30" s="71" t="s">
        <v>400</v>
      </c>
      <c r="E30" s="71" t="s">
        <v>807</v>
      </c>
      <c r="F30" s="70" t="s">
        <v>60</v>
      </c>
      <c r="G30" s="70" t="s">
        <v>75</v>
      </c>
      <c r="H30" s="70" t="s">
        <v>401</v>
      </c>
      <c r="I30" s="72" t="s">
        <v>342</v>
      </c>
      <c r="J30" s="70" t="s">
        <v>336</v>
      </c>
      <c r="K30" s="70">
        <v>39518.400000000001</v>
      </c>
      <c r="L30" s="70">
        <v>9879.6</v>
      </c>
      <c r="M30" s="70">
        <v>0</v>
      </c>
      <c r="N30" s="73">
        <v>49398</v>
      </c>
    </row>
    <row r="31" spans="1:14" ht="66.75" customHeight="1" x14ac:dyDescent="0.25">
      <c r="A31" s="74" t="s">
        <v>337</v>
      </c>
      <c r="B31" s="75" t="s">
        <v>402</v>
      </c>
      <c r="C31" s="76" t="s">
        <v>636</v>
      </c>
      <c r="D31" s="76" t="s">
        <v>403</v>
      </c>
      <c r="E31" s="76" t="s">
        <v>805</v>
      </c>
      <c r="F31" s="75" t="s">
        <v>60</v>
      </c>
      <c r="G31" s="75" t="s">
        <v>100</v>
      </c>
      <c r="H31" s="75" t="s">
        <v>153</v>
      </c>
      <c r="I31" s="77" t="s">
        <v>335</v>
      </c>
      <c r="J31" s="75" t="s">
        <v>336</v>
      </c>
      <c r="K31" s="75">
        <v>31738</v>
      </c>
      <c r="L31" s="75">
        <v>13602</v>
      </c>
      <c r="M31" s="75">
        <v>0</v>
      </c>
      <c r="N31" s="78">
        <v>45340</v>
      </c>
    </row>
    <row r="32" spans="1:14" ht="66.75" customHeight="1" x14ac:dyDescent="0.25">
      <c r="A32" s="69" t="s">
        <v>337</v>
      </c>
      <c r="B32" s="70" t="s">
        <v>404</v>
      </c>
      <c r="C32" s="71" t="s">
        <v>637</v>
      </c>
      <c r="D32" s="71" t="s">
        <v>405</v>
      </c>
      <c r="E32" s="71" t="s">
        <v>806</v>
      </c>
      <c r="F32" s="70" t="s">
        <v>60</v>
      </c>
      <c r="G32" s="70" t="s">
        <v>100</v>
      </c>
      <c r="H32" s="70" t="s">
        <v>153</v>
      </c>
      <c r="I32" s="72" t="s">
        <v>335</v>
      </c>
      <c r="J32" s="70" t="s">
        <v>336</v>
      </c>
      <c r="K32" s="70">
        <v>19670</v>
      </c>
      <c r="L32" s="70">
        <v>8430</v>
      </c>
      <c r="M32" s="70">
        <v>0</v>
      </c>
      <c r="N32" s="73">
        <v>28100</v>
      </c>
    </row>
    <row r="33" spans="1:14" ht="66.75" customHeight="1" x14ac:dyDescent="0.25">
      <c r="A33" s="74" t="s">
        <v>339</v>
      </c>
      <c r="B33" s="75" t="s">
        <v>406</v>
      </c>
      <c r="C33" s="76" t="s">
        <v>638</v>
      </c>
      <c r="D33" s="76" t="s">
        <v>407</v>
      </c>
      <c r="E33" s="76" t="s">
        <v>806</v>
      </c>
      <c r="F33" s="75" t="s">
        <v>60</v>
      </c>
      <c r="G33" s="75" t="s">
        <v>100</v>
      </c>
      <c r="H33" s="75" t="s">
        <v>153</v>
      </c>
      <c r="I33" s="77" t="s">
        <v>335</v>
      </c>
      <c r="J33" s="75" t="s">
        <v>336</v>
      </c>
      <c r="K33" s="75">
        <v>23100</v>
      </c>
      <c r="L33" s="75">
        <v>9900</v>
      </c>
      <c r="M33" s="75">
        <v>0</v>
      </c>
      <c r="N33" s="78">
        <v>33000</v>
      </c>
    </row>
    <row r="34" spans="1:14" ht="66.75" customHeight="1" x14ac:dyDescent="0.25">
      <c r="A34" s="69" t="s">
        <v>339</v>
      </c>
      <c r="B34" s="70" t="s">
        <v>408</v>
      </c>
      <c r="C34" s="71" t="s">
        <v>639</v>
      </c>
      <c r="D34" s="71" t="s">
        <v>409</v>
      </c>
      <c r="E34" s="71" t="s">
        <v>805</v>
      </c>
      <c r="F34" s="70" t="s">
        <v>60</v>
      </c>
      <c r="G34" s="70" t="s">
        <v>100</v>
      </c>
      <c r="H34" s="70" t="s">
        <v>153</v>
      </c>
      <c r="I34" s="72" t="s">
        <v>335</v>
      </c>
      <c r="J34" s="70" t="s">
        <v>336</v>
      </c>
      <c r="K34" s="70">
        <v>41072.5</v>
      </c>
      <c r="L34" s="70">
        <v>17602.5</v>
      </c>
      <c r="M34" s="70">
        <v>0</v>
      </c>
      <c r="N34" s="73">
        <v>58675</v>
      </c>
    </row>
    <row r="35" spans="1:14" ht="66.75" customHeight="1" x14ac:dyDescent="0.25">
      <c r="A35" s="74" t="s">
        <v>337</v>
      </c>
      <c r="B35" s="75" t="s">
        <v>410</v>
      </c>
      <c r="C35" s="76" t="s">
        <v>640</v>
      </c>
      <c r="D35" s="76" t="s">
        <v>411</v>
      </c>
      <c r="E35" s="76" t="s">
        <v>812</v>
      </c>
      <c r="F35" s="75" t="s">
        <v>60</v>
      </c>
      <c r="G35" s="75" t="s">
        <v>100</v>
      </c>
      <c r="H35" s="75" t="s">
        <v>115</v>
      </c>
      <c r="I35" s="77" t="s">
        <v>342</v>
      </c>
      <c r="J35" s="75" t="s">
        <v>336</v>
      </c>
      <c r="K35" s="75">
        <v>33650</v>
      </c>
      <c r="L35" s="75">
        <v>8413</v>
      </c>
      <c r="M35" s="75">
        <v>0</v>
      </c>
      <c r="N35" s="78">
        <v>42063</v>
      </c>
    </row>
    <row r="36" spans="1:14" ht="66.75" customHeight="1" x14ac:dyDescent="0.25">
      <c r="A36" s="69" t="s">
        <v>337</v>
      </c>
      <c r="B36" s="70" t="s">
        <v>412</v>
      </c>
      <c r="C36" s="71" t="s">
        <v>641</v>
      </c>
      <c r="D36" s="71" t="s">
        <v>413</v>
      </c>
      <c r="E36" s="71" t="s">
        <v>806</v>
      </c>
      <c r="F36" s="70" t="s">
        <v>60</v>
      </c>
      <c r="G36" s="70" t="s">
        <v>100</v>
      </c>
      <c r="H36" s="70" t="s">
        <v>115</v>
      </c>
      <c r="I36" s="72" t="s">
        <v>342</v>
      </c>
      <c r="J36" s="70" t="s">
        <v>336</v>
      </c>
      <c r="K36" s="70">
        <v>33650</v>
      </c>
      <c r="L36" s="70">
        <v>8413</v>
      </c>
      <c r="M36" s="70">
        <v>0</v>
      </c>
      <c r="N36" s="73">
        <v>42063</v>
      </c>
    </row>
    <row r="37" spans="1:14" ht="66.75" customHeight="1" x14ac:dyDescent="0.25">
      <c r="A37" s="74" t="s">
        <v>337</v>
      </c>
      <c r="B37" s="75" t="s">
        <v>414</v>
      </c>
      <c r="C37" s="76" t="s">
        <v>642</v>
      </c>
      <c r="D37" s="76" t="s">
        <v>415</v>
      </c>
      <c r="E37" s="76" t="s">
        <v>813</v>
      </c>
      <c r="F37" s="75" t="s">
        <v>60</v>
      </c>
      <c r="G37" s="75" t="s">
        <v>100</v>
      </c>
      <c r="H37" s="75" t="s">
        <v>115</v>
      </c>
      <c r="I37" s="77" t="s">
        <v>342</v>
      </c>
      <c r="J37" s="75" t="s">
        <v>336</v>
      </c>
      <c r="K37" s="75">
        <v>33650</v>
      </c>
      <c r="L37" s="75">
        <v>8413</v>
      </c>
      <c r="M37" s="75">
        <v>0</v>
      </c>
      <c r="N37" s="78">
        <v>42063</v>
      </c>
    </row>
    <row r="38" spans="1:14" ht="66.75" customHeight="1" x14ac:dyDescent="0.25">
      <c r="A38" s="69" t="s">
        <v>339</v>
      </c>
      <c r="B38" s="70" t="s">
        <v>416</v>
      </c>
      <c r="C38" s="71" t="s">
        <v>643</v>
      </c>
      <c r="D38" s="71" t="s">
        <v>417</v>
      </c>
      <c r="E38" s="71" t="s">
        <v>812</v>
      </c>
      <c r="F38" s="70" t="s">
        <v>60</v>
      </c>
      <c r="G38" s="70" t="s">
        <v>100</v>
      </c>
      <c r="H38" s="70" t="s">
        <v>115</v>
      </c>
      <c r="I38" s="72" t="s">
        <v>342</v>
      </c>
      <c r="J38" s="70" t="s">
        <v>336</v>
      </c>
      <c r="K38" s="70">
        <v>39518.400000000001</v>
      </c>
      <c r="L38" s="70">
        <v>9879.6</v>
      </c>
      <c r="M38" s="70">
        <v>0</v>
      </c>
      <c r="N38" s="73">
        <v>49398</v>
      </c>
    </row>
    <row r="39" spans="1:14" ht="66.75" customHeight="1" x14ac:dyDescent="0.25">
      <c r="A39" s="74" t="s">
        <v>339</v>
      </c>
      <c r="B39" s="75" t="s">
        <v>418</v>
      </c>
      <c r="C39" s="76" t="s">
        <v>644</v>
      </c>
      <c r="D39" s="76" t="s">
        <v>419</v>
      </c>
      <c r="E39" s="71" t="s">
        <v>829</v>
      </c>
      <c r="F39" s="75" t="s">
        <v>60</v>
      </c>
      <c r="G39" s="75" t="s">
        <v>100</v>
      </c>
      <c r="H39" s="75" t="s">
        <v>115</v>
      </c>
      <c r="I39" s="77" t="s">
        <v>342</v>
      </c>
      <c r="J39" s="75" t="s">
        <v>336</v>
      </c>
      <c r="K39" s="75">
        <v>39518.400000000001</v>
      </c>
      <c r="L39" s="75">
        <v>9879.6</v>
      </c>
      <c r="M39" s="75">
        <v>0</v>
      </c>
      <c r="N39" s="78">
        <v>49398</v>
      </c>
    </row>
    <row r="40" spans="1:14" ht="66.75" customHeight="1" x14ac:dyDescent="0.25">
      <c r="A40" s="69" t="s">
        <v>339</v>
      </c>
      <c r="B40" s="70" t="s">
        <v>420</v>
      </c>
      <c r="C40" s="71" t="s">
        <v>645</v>
      </c>
      <c r="D40" s="71" t="s">
        <v>421</v>
      </c>
      <c r="E40" s="71" t="s">
        <v>814</v>
      </c>
      <c r="F40" s="70" t="s">
        <v>60</v>
      </c>
      <c r="G40" s="70" t="s">
        <v>100</v>
      </c>
      <c r="H40" s="70" t="s">
        <v>115</v>
      </c>
      <c r="I40" s="72" t="s">
        <v>342</v>
      </c>
      <c r="J40" s="70" t="s">
        <v>336</v>
      </c>
      <c r="K40" s="70">
        <v>39518.400000000001</v>
      </c>
      <c r="L40" s="70">
        <v>9879.6</v>
      </c>
      <c r="M40" s="70">
        <v>0</v>
      </c>
      <c r="N40" s="73">
        <v>49398</v>
      </c>
    </row>
    <row r="41" spans="1:14" ht="66.75" customHeight="1" x14ac:dyDescent="0.25">
      <c r="A41" s="74" t="s">
        <v>339</v>
      </c>
      <c r="B41" s="75" t="s">
        <v>422</v>
      </c>
      <c r="C41" s="76" t="s">
        <v>646</v>
      </c>
      <c r="D41" s="76" t="s">
        <v>423</v>
      </c>
      <c r="E41" s="76" t="s">
        <v>815</v>
      </c>
      <c r="F41" s="75" t="s">
        <v>60</v>
      </c>
      <c r="G41" s="75" t="s">
        <v>100</v>
      </c>
      <c r="H41" s="75" t="s">
        <v>115</v>
      </c>
      <c r="I41" s="77" t="s">
        <v>342</v>
      </c>
      <c r="J41" s="75" t="s">
        <v>336</v>
      </c>
      <c r="K41" s="75">
        <v>39518.400000000001</v>
      </c>
      <c r="L41" s="75">
        <v>9879.6</v>
      </c>
      <c r="M41" s="75">
        <v>0</v>
      </c>
      <c r="N41" s="78">
        <v>49398</v>
      </c>
    </row>
    <row r="42" spans="1:14" ht="66.75" customHeight="1" x14ac:dyDescent="0.25">
      <c r="A42" s="69" t="s">
        <v>339</v>
      </c>
      <c r="B42" s="70" t="s">
        <v>424</v>
      </c>
      <c r="C42" s="71" t="s">
        <v>647</v>
      </c>
      <c r="D42" s="71" t="s">
        <v>425</v>
      </c>
      <c r="E42" s="71" t="s">
        <v>813</v>
      </c>
      <c r="F42" s="70" t="s">
        <v>60</v>
      </c>
      <c r="G42" s="70" t="s">
        <v>100</v>
      </c>
      <c r="H42" s="70" t="s">
        <v>115</v>
      </c>
      <c r="I42" s="72" t="s">
        <v>342</v>
      </c>
      <c r="J42" s="70" t="s">
        <v>336</v>
      </c>
      <c r="K42" s="70">
        <v>39518.400000000001</v>
      </c>
      <c r="L42" s="70">
        <v>9879.6</v>
      </c>
      <c r="M42" s="70">
        <v>0</v>
      </c>
      <c r="N42" s="73">
        <v>49398</v>
      </c>
    </row>
    <row r="43" spans="1:14" ht="66.75" customHeight="1" x14ac:dyDescent="0.25">
      <c r="A43" s="74" t="s">
        <v>340</v>
      </c>
      <c r="B43" s="75" t="s">
        <v>426</v>
      </c>
      <c r="C43" s="76" t="s">
        <v>648</v>
      </c>
      <c r="D43" s="76" t="s">
        <v>427</v>
      </c>
      <c r="E43" s="76" t="s">
        <v>816</v>
      </c>
      <c r="F43" s="75" t="s">
        <v>60</v>
      </c>
      <c r="G43" s="75" t="s">
        <v>100</v>
      </c>
      <c r="H43" s="75" t="s">
        <v>115</v>
      </c>
      <c r="I43" s="77" t="s">
        <v>342</v>
      </c>
      <c r="J43" s="75" t="s">
        <v>336</v>
      </c>
      <c r="K43" s="75">
        <v>39518.400000000001</v>
      </c>
      <c r="L43" s="75">
        <v>9879.6</v>
      </c>
      <c r="M43" s="75">
        <v>0</v>
      </c>
      <c r="N43" s="78">
        <v>49398</v>
      </c>
    </row>
    <row r="44" spans="1:14" ht="66.75" customHeight="1" x14ac:dyDescent="0.25">
      <c r="A44" s="69" t="s">
        <v>340</v>
      </c>
      <c r="B44" s="70" t="s">
        <v>428</v>
      </c>
      <c r="C44" s="71" t="s">
        <v>649</v>
      </c>
      <c r="D44" s="71" t="s">
        <v>429</v>
      </c>
      <c r="E44" s="71" t="s">
        <v>817</v>
      </c>
      <c r="F44" s="70" t="s">
        <v>60</v>
      </c>
      <c r="G44" s="70" t="s">
        <v>100</v>
      </c>
      <c r="H44" s="70" t="s">
        <v>115</v>
      </c>
      <c r="I44" s="72" t="s">
        <v>342</v>
      </c>
      <c r="J44" s="70" t="s">
        <v>336</v>
      </c>
      <c r="K44" s="70">
        <v>39518.400000000001</v>
      </c>
      <c r="L44" s="70">
        <v>9879.6</v>
      </c>
      <c r="M44" s="70">
        <v>0</v>
      </c>
      <c r="N44" s="73">
        <v>49398</v>
      </c>
    </row>
    <row r="45" spans="1:14" ht="66.75" customHeight="1" x14ac:dyDescent="0.25">
      <c r="A45" s="74" t="s">
        <v>340</v>
      </c>
      <c r="B45" s="75" t="s">
        <v>430</v>
      </c>
      <c r="C45" s="76" t="s">
        <v>650</v>
      </c>
      <c r="D45" s="76" t="s">
        <v>431</v>
      </c>
      <c r="E45" s="76" t="s">
        <v>813</v>
      </c>
      <c r="F45" s="75" t="s">
        <v>60</v>
      </c>
      <c r="G45" s="75" t="s">
        <v>100</v>
      </c>
      <c r="H45" s="75" t="s">
        <v>115</v>
      </c>
      <c r="I45" s="77" t="s">
        <v>342</v>
      </c>
      <c r="J45" s="75" t="s">
        <v>336</v>
      </c>
      <c r="K45" s="75">
        <v>39518.400000000001</v>
      </c>
      <c r="L45" s="75">
        <v>9879.6</v>
      </c>
      <c r="M45" s="75">
        <v>0</v>
      </c>
      <c r="N45" s="78">
        <v>49398</v>
      </c>
    </row>
    <row r="46" spans="1:14" ht="66.75" customHeight="1" x14ac:dyDescent="0.25">
      <c r="A46" s="69" t="s">
        <v>340</v>
      </c>
      <c r="B46" s="70" t="s">
        <v>432</v>
      </c>
      <c r="C46" s="71" t="s">
        <v>651</v>
      </c>
      <c r="D46" s="71" t="s">
        <v>433</v>
      </c>
      <c r="E46" s="71" t="s">
        <v>818</v>
      </c>
      <c r="F46" s="70" t="s">
        <v>60</v>
      </c>
      <c r="G46" s="70" t="s">
        <v>100</v>
      </c>
      <c r="H46" s="70" t="s">
        <v>115</v>
      </c>
      <c r="I46" s="72" t="s">
        <v>342</v>
      </c>
      <c r="J46" s="70" t="s">
        <v>336</v>
      </c>
      <c r="K46" s="70">
        <v>39518.400000000001</v>
      </c>
      <c r="L46" s="70">
        <v>9879.6</v>
      </c>
      <c r="M46" s="70">
        <v>0</v>
      </c>
      <c r="N46" s="73">
        <v>49398</v>
      </c>
    </row>
    <row r="47" spans="1:14" ht="66.75" customHeight="1" x14ac:dyDescent="0.25">
      <c r="A47" s="74" t="s">
        <v>340</v>
      </c>
      <c r="B47" s="75" t="s">
        <v>434</v>
      </c>
      <c r="C47" s="76" t="s">
        <v>652</v>
      </c>
      <c r="D47" s="76" t="s">
        <v>435</v>
      </c>
      <c r="E47" s="76" t="s">
        <v>806</v>
      </c>
      <c r="F47" s="75" t="s">
        <v>60</v>
      </c>
      <c r="G47" s="75" t="s">
        <v>100</v>
      </c>
      <c r="H47" s="75" t="s">
        <v>115</v>
      </c>
      <c r="I47" s="77" t="s">
        <v>342</v>
      </c>
      <c r="J47" s="75" t="s">
        <v>336</v>
      </c>
      <c r="K47" s="75">
        <v>39518.400000000001</v>
      </c>
      <c r="L47" s="75">
        <v>9879.6</v>
      </c>
      <c r="M47" s="75">
        <v>0</v>
      </c>
      <c r="N47" s="78">
        <v>49398</v>
      </c>
    </row>
    <row r="48" spans="1:14" ht="66.75" customHeight="1" x14ac:dyDescent="0.25">
      <c r="A48" s="69" t="s">
        <v>340</v>
      </c>
      <c r="B48" s="70" t="s">
        <v>436</v>
      </c>
      <c r="C48" s="71" t="s">
        <v>653</v>
      </c>
      <c r="D48" s="71" t="s">
        <v>437</v>
      </c>
      <c r="E48" s="71" t="s">
        <v>813</v>
      </c>
      <c r="F48" s="70" t="s">
        <v>60</v>
      </c>
      <c r="G48" s="70" t="s">
        <v>100</v>
      </c>
      <c r="H48" s="70" t="s">
        <v>115</v>
      </c>
      <c r="I48" s="72" t="s">
        <v>342</v>
      </c>
      <c r="J48" s="70" t="s">
        <v>336</v>
      </c>
      <c r="K48" s="70">
        <v>39518.400000000001</v>
      </c>
      <c r="L48" s="70">
        <v>9879.6</v>
      </c>
      <c r="M48" s="70">
        <v>0</v>
      </c>
      <c r="N48" s="73">
        <v>49398</v>
      </c>
    </row>
    <row r="49" spans="1:14" ht="66.75" customHeight="1" x14ac:dyDescent="0.25">
      <c r="A49" s="74" t="s">
        <v>340</v>
      </c>
      <c r="B49" s="75" t="s">
        <v>438</v>
      </c>
      <c r="C49" s="76" t="s">
        <v>654</v>
      </c>
      <c r="D49" s="76" t="s">
        <v>439</v>
      </c>
      <c r="E49" s="76" t="s">
        <v>813</v>
      </c>
      <c r="F49" s="75" t="s">
        <v>60</v>
      </c>
      <c r="G49" s="75" t="s">
        <v>100</v>
      </c>
      <c r="H49" s="75" t="s">
        <v>115</v>
      </c>
      <c r="I49" s="77" t="s">
        <v>342</v>
      </c>
      <c r="J49" s="75" t="s">
        <v>336</v>
      </c>
      <c r="K49" s="75">
        <v>39518.400000000001</v>
      </c>
      <c r="L49" s="75">
        <v>9879.6</v>
      </c>
      <c r="M49" s="75">
        <v>0</v>
      </c>
      <c r="N49" s="78">
        <v>49398</v>
      </c>
    </row>
    <row r="50" spans="1:14" ht="66.75" customHeight="1" x14ac:dyDescent="0.25">
      <c r="A50" s="69" t="s">
        <v>340</v>
      </c>
      <c r="B50" s="70" t="s">
        <v>440</v>
      </c>
      <c r="C50" s="71" t="s">
        <v>655</v>
      </c>
      <c r="D50" s="71" t="s">
        <v>441</v>
      </c>
      <c r="E50" s="71" t="s">
        <v>819</v>
      </c>
      <c r="F50" s="70" t="s">
        <v>60</v>
      </c>
      <c r="G50" s="70" t="s">
        <v>100</v>
      </c>
      <c r="H50" s="70" t="s">
        <v>115</v>
      </c>
      <c r="I50" s="72" t="s">
        <v>342</v>
      </c>
      <c r="J50" s="70" t="s">
        <v>336</v>
      </c>
      <c r="K50" s="70">
        <v>39518.400000000001</v>
      </c>
      <c r="L50" s="70">
        <v>9879.6</v>
      </c>
      <c r="M50" s="70">
        <v>0</v>
      </c>
      <c r="N50" s="73">
        <v>49398</v>
      </c>
    </row>
    <row r="51" spans="1:14" ht="66.75" customHeight="1" x14ac:dyDescent="0.25">
      <c r="A51" s="74" t="s">
        <v>340</v>
      </c>
      <c r="B51" s="75" t="s">
        <v>442</v>
      </c>
      <c r="C51" s="76" t="s">
        <v>656</v>
      </c>
      <c r="D51" s="76" t="s">
        <v>443</v>
      </c>
      <c r="E51" s="71" t="s">
        <v>829</v>
      </c>
      <c r="F51" s="75" t="s">
        <v>60</v>
      </c>
      <c r="G51" s="75" t="s">
        <v>100</v>
      </c>
      <c r="H51" s="75" t="s">
        <v>115</v>
      </c>
      <c r="I51" s="77" t="s">
        <v>342</v>
      </c>
      <c r="J51" s="75" t="s">
        <v>336</v>
      </c>
      <c r="K51" s="75">
        <v>39518.400000000001</v>
      </c>
      <c r="L51" s="75">
        <v>9879.6</v>
      </c>
      <c r="M51" s="75">
        <v>0</v>
      </c>
      <c r="N51" s="78">
        <v>49398</v>
      </c>
    </row>
    <row r="52" spans="1:14" ht="66.75" customHeight="1" x14ac:dyDescent="0.25">
      <c r="A52" s="69" t="s">
        <v>341</v>
      </c>
      <c r="B52" s="70" t="s">
        <v>444</v>
      </c>
      <c r="C52" s="71" t="s">
        <v>657</v>
      </c>
      <c r="D52" s="71" t="s">
        <v>445</v>
      </c>
      <c r="E52" s="71" t="s">
        <v>803</v>
      </c>
      <c r="F52" s="70" t="s">
        <v>60</v>
      </c>
      <c r="G52" s="70" t="s">
        <v>100</v>
      </c>
      <c r="H52" s="70" t="s">
        <v>115</v>
      </c>
      <c r="I52" s="72" t="s">
        <v>342</v>
      </c>
      <c r="J52" s="70" t="s">
        <v>336</v>
      </c>
      <c r="K52" s="70">
        <v>39518.400000000001</v>
      </c>
      <c r="L52" s="70">
        <v>9879.6</v>
      </c>
      <c r="M52" s="70">
        <v>0</v>
      </c>
      <c r="N52" s="73">
        <v>49398</v>
      </c>
    </row>
    <row r="53" spans="1:14" ht="66.75" customHeight="1" x14ac:dyDescent="0.25">
      <c r="A53" s="74" t="s">
        <v>341</v>
      </c>
      <c r="B53" s="75" t="s">
        <v>446</v>
      </c>
      <c r="C53" s="76" t="s">
        <v>658</v>
      </c>
      <c r="D53" s="76" t="s">
        <v>447</v>
      </c>
      <c r="E53" s="76" t="s">
        <v>814</v>
      </c>
      <c r="F53" s="75" t="s">
        <v>60</v>
      </c>
      <c r="G53" s="75" t="s">
        <v>100</v>
      </c>
      <c r="H53" s="75" t="s">
        <v>115</v>
      </c>
      <c r="I53" s="77" t="s">
        <v>342</v>
      </c>
      <c r="J53" s="75" t="s">
        <v>336</v>
      </c>
      <c r="K53" s="75">
        <v>39518.400000000001</v>
      </c>
      <c r="L53" s="75">
        <v>9879.6</v>
      </c>
      <c r="M53" s="75">
        <v>0</v>
      </c>
      <c r="N53" s="78">
        <v>49398</v>
      </c>
    </row>
    <row r="54" spans="1:14" ht="66.75" customHeight="1" x14ac:dyDescent="0.25">
      <c r="A54" s="69" t="s">
        <v>341</v>
      </c>
      <c r="B54" s="70" t="s">
        <v>448</v>
      </c>
      <c r="C54" s="71" t="s">
        <v>659</v>
      </c>
      <c r="D54" s="71" t="s">
        <v>449</v>
      </c>
      <c r="E54" s="71" t="s">
        <v>829</v>
      </c>
      <c r="F54" s="70" t="s">
        <v>60</v>
      </c>
      <c r="G54" s="70" t="s">
        <v>100</v>
      </c>
      <c r="H54" s="70" t="s">
        <v>115</v>
      </c>
      <c r="I54" s="72" t="s">
        <v>342</v>
      </c>
      <c r="J54" s="70" t="s">
        <v>336</v>
      </c>
      <c r="K54" s="70">
        <v>39518.400000000001</v>
      </c>
      <c r="L54" s="70">
        <v>9879.6</v>
      </c>
      <c r="M54" s="70">
        <v>0</v>
      </c>
      <c r="N54" s="73">
        <v>49398</v>
      </c>
    </row>
    <row r="55" spans="1:14" ht="66.75" customHeight="1" x14ac:dyDescent="0.25">
      <c r="A55" s="74" t="s">
        <v>334</v>
      </c>
      <c r="B55" s="75" t="s">
        <v>450</v>
      </c>
      <c r="C55" s="76" t="s">
        <v>660</v>
      </c>
      <c r="D55" s="76" t="s">
        <v>451</v>
      </c>
      <c r="E55" s="76" t="s">
        <v>806</v>
      </c>
      <c r="F55" s="75" t="s">
        <v>60</v>
      </c>
      <c r="G55" s="75" t="s">
        <v>100</v>
      </c>
      <c r="H55" s="75" t="s">
        <v>115</v>
      </c>
      <c r="I55" s="77" t="s">
        <v>335</v>
      </c>
      <c r="J55" s="75" t="s">
        <v>336</v>
      </c>
      <c r="K55" s="75">
        <v>19670</v>
      </c>
      <c r="L55" s="75">
        <v>8430</v>
      </c>
      <c r="M55" s="75">
        <v>0</v>
      </c>
      <c r="N55" s="78">
        <v>28100</v>
      </c>
    </row>
    <row r="56" spans="1:14" ht="66.75" customHeight="1" x14ac:dyDescent="0.25">
      <c r="A56" s="69" t="s">
        <v>337</v>
      </c>
      <c r="B56" s="70" t="s">
        <v>452</v>
      </c>
      <c r="C56" s="71" t="s">
        <v>661</v>
      </c>
      <c r="D56" s="71" t="s">
        <v>453</v>
      </c>
      <c r="E56" s="71" t="s">
        <v>820</v>
      </c>
      <c r="F56" s="70" t="s">
        <v>60</v>
      </c>
      <c r="G56" s="70" t="s">
        <v>100</v>
      </c>
      <c r="H56" s="70" t="s">
        <v>115</v>
      </c>
      <c r="I56" s="72" t="s">
        <v>335</v>
      </c>
      <c r="J56" s="70" t="s">
        <v>336</v>
      </c>
      <c r="K56" s="70">
        <v>19670</v>
      </c>
      <c r="L56" s="70">
        <v>8430</v>
      </c>
      <c r="M56" s="70">
        <v>0</v>
      </c>
      <c r="N56" s="73">
        <v>28100</v>
      </c>
    </row>
    <row r="57" spans="1:14" ht="66.75" customHeight="1" x14ac:dyDescent="0.25">
      <c r="A57" s="74" t="s">
        <v>340</v>
      </c>
      <c r="B57" s="75" t="s">
        <v>454</v>
      </c>
      <c r="C57" s="76" t="s">
        <v>662</v>
      </c>
      <c r="D57" s="76" t="s">
        <v>455</v>
      </c>
      <c r="E57" s="76" t="s">
        <v>821</v>
      </c>
      <c r="F57" s="75" t="s">
        <v>60</v>
      </c>
      <c r="G57" s="75" t="s">
        <v>100</v>
      </c>
      <c r="H57" s="75" t="s">
        <v>115</v>
      </c>
      <c r="I57" s="77" t="s">
        <v>335</v>
      </c>
      <c r="J57" s="75" t="s">
        <v>336</v>
      </c>
      <c r="K57" s="75">
        <v>29635.200000000001</v>
      </c>
      <c r="L57" s="75">
        <v>12700.8</v>
      </c>
      <c r="M57" s="75">
        <v>0</v>
      </c>
      <c r="N57" s="78">
        <v>42336</v>
      </c>
    </row>
    <row r="58" spans="1:14" ht="66.75" customHeight="1" x14ac:dyDescent="0.25">
      <c r="A58" s="69" t="s">
        <v>340</v>
      </c>
      <c r="B58" s="70" t="s">
        <v>456</v>
      </c>
      <c r="C58" s="71" t="s">
        <v>663</v>
      </c>
      <c r="D58" s="71" t="s">
        <v>457</v>
      </c>
      <c r="E58" s="71" t="s">
        <v>821</v>
      </c>
      <c r="F58" s="70" t="s">
        <v>60</v>
      </c>
      <c r="G58" s="70" t="s">
        <v>100</v>
      </c>
      <c r="H58" s="70" t="s">
        <v>115</v>
      </c>
      <c r="I58" s="72" t="s">
        <v>335</v>
      </c>
      <c r="J58" s="70" t="s">
        <v>336</v>
      </c>
      <c r="K58" s="70">
        <v>28863.8</v>
      </c>
      <c r="L58" s="70">
        <v>12370.2</v>
      </c>
      <c r="M58" s="70">
        <v>0</v>
      </c>
      <c r="N58" s="73">
        <v>41234</v>
      </c>
    </row>
    <row r="59" spans="1:14" ht="66.75" customHeight="1" x14ac:dyDescent="0.25">
      <c r="A59" s="74" t="s">
        <v>341</v>
      </c>
      <c r="B59" s="75" t="s">
        <v>458</v>
      </c>
      <c r="C59" s="76" t="s">
        <v>664</v>
      </c>
      <c r="D59" s="76" t="s">
        <v>459</v>
      </c>
      <c r="E59" s="76" t="s">
        <v>819</v>
      </c>
      <c r="F59" s="75" t="s">
        <v>60</v>
      </c>
      <c r="G59" s="75" t="s">
        <v>100</v>
      </c>
      <c r="H59" s="75" t="s">
        <v>115</v>
      </c>
      <c r="I59" s="77" t="s">
        <v>335</v>
      </c>
      <c r="J59" s="75" t="s">
        <v>336</v>
      </c>
      <c r="K59" s="75">
        <v>23100</v>
      </c>
      <c r="L59" s="75">
        <v>9900</v>
      </c>
      <c r="M59" s="75">
        <v>0</v>
      </c>
      <c r="N59" s="78">
        <v>33000</v>
      </c>
    </row>
    <row r="60" spans="1:14" ht="66.75" customHeight="1" x14ac:dyDescent="0.25">
      <c r="A60" s="69" t="s">
        <v>334</v>
      </c>
      <c r="B60" s="70" t="s">
        <v>460</v>
      </c>
      <c r="C60" s="71" t="s">
        <v>665</v>
      </c>
      <c r="D60" s="71" t="s">
        <v>461</v>
      </c>
      <c r="E60" s="71" t="s">
        <v>829</v>
      </c>
      <c r="F60" s="70" t="s">
        <v>60</v>
      </c>
      <c r="G60" s="70" t="s">
        <v>100</v>
      </c>
      <c r="H60" s="70" t="s">
        <v>462</v>
      </c>
      <c r="I60" s="72" t="s">
        <v>342</v>
      </c>
      <c r="J60" s="70" t="s">
        <v>336</v>
      </c>
      <c r="K60" s="70">
        <v>33664</v>
      </c>
      <c r="L60" s="70">
        <v>8416</v>
      </c>
      <c r="M60" s="70">
        <v>0</v>
      </c>
      <c r="N60" s="73">
        <v>42080</v>
      </c>
    </row>
    <row r="61" spans="1:14" ht="66.75" customHeight="1" x14ac:dyDescent="0.25">
      <c r="A61" s="74" t="s">
        <v>334</v>
      </c>
      <c r="B61" s="75" t="s">
        <v>463</v>
      </c>
      <c r="C61" s="76" t="s">
        <v>666</v>
      </c>
      <c r="D61" s="76" t="s">
        <v>464</v>
      </c>
      <c r="E61" s="71" t="s">
        <v>829</v>
      </c>
      <c r="F61" s="75" t="s">
        <v>60</v>
      </c>
      <c r="G61" s="75" t="s">
        <v>100</v>
      </c>
      <c r="H61" s="75" t="s">
        <v>462</v>
      </c>
      <c r="I61" s="77" t="s">
        <v>342</v>
      </c>
      <c r="J61" s="75" t="s">
        <v>336</v>
      </c>
      <c r="K61" s="75">
        <v>30517.94</v>
      </c>
      <c r="L61" s="75">
        <v>7629.49</v>
      </c>
      <c r="M61" s="75">
        <v>0</v>
      </c>
      <c r="N61" s="78">
        <v>38147.43</v>
      </c>
    </row>
    <row r="62" spans="1:14" ht="66.75" customHeight="1" x14ac:dyDescent="0.25">
      <c r="A62" s="69" t="s">
        <v>334</v>
      </c>
      <c r="B62" s="70" t="s">
        <v>465</v>
      </c>
      <c r="C62" s="71" t="s">
        <v>667</v>
      </c>
      <c r="D62" s="71" t="s">
        <v>466</v>
      </c>
      <c r="E62" s="71" t="s">
        <v>70</v>
      </c>
      <c r="F62" s="70" t="s">
        <v>60</v>
      </c>
      <c r="G62" s="70" t="s">
        <v>100</v>
      </c>
      <c r="H62" s="70" t="s">
        <v>462</v>
      </c>
      <c r="I62" s="72" t="s">
        <v>342</v>
      </c>
      <c r="J62" s="70" t="s">
        <v>336</v>
      </c>
      <c r="K62" s="70">
        <v>28008</v>
      </c>
      <c r="L62" s="70">
        <v>7002</v>
      </c>
      <c r="M62" s="70">
        <v>0</v>
      </c>
      <c r="N62" s="73">
        <v>35010</v>
      </c>
    </row>
    <row r="63" spans="1:14" ht="66.75" customHeight="1" x14ac:dyDescent="0.25">
      <c r="A63" s="74" t="s">
        <v>340</v>
      </c>
      <c r="B63" s="75" t="s">
        <v>467</v>
      </c>
      <c r="C63" s="76" t="s">
        <v>668</v>
      </c>
      <c r="D63" s="76" t="s">
        <v>468</v>
      </c>
      <c r="E63" s="76" t="s">
        <v>806</v>
      </c>
      <c r="F63" s="75" t="s">
        <v>60</v>
      </c>
      <c r="G63" s="75" t="s">
        <v>100</v>
      </c>
      <c r="H63" s="75" t="s">
        <v>462</v>
      </c>
      <c r="I63" s="77" t="s">
        <v>342</v>
      </c>
      <c r="J63" s="75" t="s">
        <v>336</v>
      </c>
      <c r="K63" s="75">
        <v>39518.400000000001</v>
      </c>
      <c r="L63" s="75">
        <v>9879.6</v>
      </c>
      <c r="M63" s="75">
        <v>0</v>
      </c>
      <c r="N63" s="78">
        <v>49398</v>
      </c>
    </row>
    <row r="64" spans="1:14" ht="66.75" customHeight="1" x14ac:dyDescent="0.25">
      <c r="A64" s="69" t="s">
        <v>340</v>
      </c>
      <c r="B64" s="70" t="s">
        <v>469</v>
      </c>
      <c r="C64" s="71" t="s">
        <v>669</v>
      </c>
      <c r="D64" s="71" t="s">
        <v>470</v>
      </c>
      <c r="E64" s="71" t="s">
        <v>806</v>
      </c>
      <c r="F64" s="70" t="s">
        <v>60</v>
      </c>
      <c r="G64" s="70" t="s">
        <v>100</v>
      </c>
      <c r="H64" s="70" t="s">
        <v>462</v>
      </c>
      <c r="I64" s="72" t="s">
        <v>342</v>
      </c>
      <c r="J64" s="70" t="s">
        <v>336</v>
      </c>
      <c r="K64" s="70">
        <v>39518.400000000001</v>
      </c>
      <c r="L64" s="70">
        <v>9879.6</v>
      </c>
      <c r="M64" s="70">
        <v>0</v>
      </c>
      <c r="N64" s="73">
        <v>49398</v>
      </c>
    </row>
    <row r="65" spans="1:14" ht="66.75" customHeight="1" x14ac:dyDescent="0.25">
      <c r="A65" s="74" t="s">
        <v>340</v>
      </c>
      <c r="B65" s="75" t="s">
        <v>471</v>
      </c>
      <c r="C65" s="76" t="s">
        <v>670</v>
      </c>
      <c r="D65" s="76" t="s">
        <v>472</v>
      </c>
      <c r="E65" s="76" t="s">
        <v>813</v>
      </c>
      <c r="F65" s="75" t="s">
        <v>60</v>
      </c>
      <c r="G65" s="75" t="s">
        <v>100</v>
      </c>
      <c r="H65" s="75" t="s">
        <v>462</v>
      </c>
      <c r="I65" s="77" t="s">
        <v>342</v>
      </c>
      <c r="J65" s="75" t="s">
        <v>336</v>
      </c>
      <c r="K65" s="75">
        <v>39518.400000000001</v>
      </c>
      <c r="L65" s="75">
        <v>9879.6</v>
      </c>
      <c r="M65" s="75">
        <v>0</v>
      </c>
      <c r="N65" s="78">
        <v>49398</v>
      </c>
    </row>
    <row r="66" spans="1:14" ht="66.75" customHeight="1" x14ac:dyDescent="0.25">
      <c r="A66" s="69" t="s">
        <v>341</v>
      </c>
      <c r="B66" s="70" t="s">
        <v>473</v>
      </c>
      <c r="C66" s="71" t="s">
        <v>671</v>
      </c>
      <c r="D66" s="71" t="s">
        <v>474</v>
      </c>
      <c r="E66" s="71" t="s">
        <v>806</v>
      </c>
      <c r="F66" s="70" t="s">
        <v>60</v>
      </c>
      <c r="G66" s="70" t="s">
        <v>100</v>
      </c>
      <c r="H66" s="70" t="s">
        <v>462</v>
      </c>
      <c r="I66" s="72" t="s">
        <v>342</v>
      </c>
      <c r="J66" s="70" t="s">
        <v>336</v>
      </c>
      <c r="K66" s="70">
        <v>39518.400000000001</v>
      </c>
      <c r="L66" s="70">
        <v>9879.6</v>
      </c>
      <c r="M66" s="70">
        <v>0</v>
      </c>
      <c r="N66" s="73">
        <v>49398</v>
      </c>
    </row>
    <row r="67" spans="1:14" ht="66.75" customHeight="1" x14ac:dyDescent="0.25">
      <c r="A67" s="74" t="s">
        <v>341</v>
      </c>
      <c r="B67" s="75" t="s">
        <v>475</v>
      </c>
      <c r="C67" s="76" t="s">
        <v>672</v>
      </c>
      <c r="D67" s="76" t="s">
        <v>476</v>
      </c>
      <c r="E67" s="76" t="s">
        <v>814</v>
      </c>
      <c r="F67" s="75" t="s">
        <v>60</v>
      </c>
      <c r="G67" s="75" t="s">
        <v>100</v>
      </c>
      <c r="H67" s="75" t="s">
        <v>462</v>
      </c>
      <c r="I67" s="77" t="s">
        <v>342</v>
      </c>
      <c r="J67" s="75" t="s">
        <v>336</v>
      </c>
      <c r="K67" s="75">
        <v>39518.400000000001</v>
      </c>
      <c r="L67" s="75">
        <v>9879.6</v>
      </c>
      <c r="M67" s="75">
        <v>0</v>
      </c>
      <c r="N67" s="78">
        <v>49398</v>
      </c>
    </row>
    <row r="68" spans="1:14" ht="66.75" customHeight="1" x14ac:dyDescent="0.25">
      <c r="A68" s="69" t="s">
        <v>341</v>
      </c>
      <c r="B68" s="70" t="s">
        <v>477</v>
      </c>
      <c r="C68" s="71" t="s">
        <v>682</v>
      </c>
      <c r="D68" s="71" t="s">
        <v>478</v>
      </c>
      <c r="E68" s="71" t="s">
        <v>829</v>
      </c>
      <c r="F68" s="70" t="s">
        <v>60</v>
      </c>
      <c r="G68" s="70" t="s">
        <v>100</v>
      </c>
      <c r="H68" s="70" t="s">
        <v>462</v>
      </c>
      <c r="I68" s="72" t="s">
        <v>342</v>
      </c>
      <c r="J68" s="70" t="s">
        <v>336</v>
      </c>
      <c r="K68" s="70">
        <v>39518.400000000001</v>
      </c>
      <c r="L68" s="70">
        <v>9879.6</v>
      </c>
      <c r="M68" s="70">
        <v>0</v>
      </c>
      <c r="N68" s="73">
        <v>49398</v>
      </c>
    </row>
    <row r="69" spans="1:14" ht="66.75" customHeight="1" x14ac:dyDescent="0.25">
      <c r="A69" s="74" t="s">
        <v>341</v>
      </c>
      <c r="B69" s="75" t="s">
        <v>479</v>
      </c>
      <c r="C69" s="76" t="s">
        <v>681</v>
      </c>
      <c r="D69" s="76" t="s">
        <v>480</v>
      </c>
      <c r="E69" s="71" t="s">
        <v>829</v>
      </c>
      <c r="F69" s="75" t="s">
        <v>60</v>
      </c>
      <c r="G69" s="75" t="s">
        <v>100</v>
      </c>
      <c r="H69" s="75" t="s">
        <v>462</v>
      </c>
      <c r="I69" s="77" t="s">
        <v>342</v>
      </c>
      <c r="J69" s="75" t="s">
        <v>336</v>
      </c>
      <c r="K69" s="75">
        <v>39518.400000000001</v>
      </c>
      <c r="L69" s="75">
        <v>9879.6</v>
      </c>
      <c r="M69" s="75">
        <v>0</v>
      </c>
      <c r="N69" s="78">
        <v>49398</v>
      </c>
    </row>
    <row r="70" spans="1:14" ht="66.75" customHeight="1" x14ac:dyDescent="0.25">
      <c r="A70" s="69" t="s">
        <v>341</v>
      </c>
      <c r="B70" s="70" t="s">
        <v>481</v>
      </c>
      <c r="C70" s="71" t="s">
        <v>683</v>
      </c>
      <c r="D70" s="71" t="s">
        <v>482</v>
      </c>
      <c r="E70" s="71" t="s">
        <v>829</v>
      </c>
      <c r="F70" s="70" t="s">
        <v>60</v>
      </c>
      <c r="G70" s="70" t="s">
        <v>100</v>
      </c>
      <c r="H70" s="70" t="s">
        <v>462</v>
      </c>
      <c r="I70" s="72" t="s">
        <v>342</v>
      </c>
      <c r="J70" s="70" t="s">
        <v>336</v>
      </c>
      <c r="K70" s="70">
        <v>39518.400000000001</v>
      </c>
      <c r="L70" s="70">
        <v>9879.6</v>
      </c>
      <c r="M70" s="70">
        <v>0</v>
      </c>
      <c r="N70" s="73">
        <v>49398</v>
      </c>
    </row>
    <row r="71" spans="1:14" ht="66.75" customHeight="1" x14ac:dyDescent="0.25">
      <c r="A71" s="74" t="s">
        <v>341</v>
      </c>
      <c r="B71" s="75" t="s">
        <v>483</v>
      </c>
      <c r="C71" s="76" t="s">
        <v>684</v>
      </c>
      <c r="D71" s="76" t="s">
        <v>484</v>
      </c>
      <c r="E71" s="76" t="s">
        <v>819</v>
      </c>
      <c r="F71" s="75" t="s">
        <v>60</v>
      </c>
      <c r="G71" s="75" t="s">
        <v>100</v>
      </c>
      <c r="H71" s="75" t="s">
        <v>462</v>
      </c>
      <c r="I71" s="77" t="s">
        <v>342</v>
      </c>
      <c r="J71" s="75" t="s">
        <v>336</v>
      </c>
      <c r="K71" s="75">
        <v>39518.400000000001</v>
      </c>
      <c r="L71" s="75">
        <v>9879.6</v>
      </c>
      <c r="M71" s="75">
        <v>0</v>
      </c>
      <c r="N71" s="78">
        <v>49398</v>
      </c>
    </row>
    <row r="72" spans="1:14" ht="66.75" customHeight="1" x14ac:dyDescent="0.25">
      <c r="A72" s="69" t="s">
        <v>341</v>
      </c>
      <c r="B72" s="70" t="s">
        <v>485</v>
      </c>
      <c r="C72" s="71" t="s">
        <v>685</v>
      </c>
      <c r="D72" s="71" t="s">
        <v>486</v>
      </c>
      <c r="E72" s="71" t="s">
        <v>829</v>
      </c>
      <c r="F72" s="70" t="s">
        <v>60</v>
      </c>
      <c r="G72" s="70" t="s">
        <v>100</v>
      </c>
      <c r="H72" s="70" t="s">
        <v>462</v>
      </c>
      <c r="I72" s="72" t="s">
        <v>342</v>
      </c>
      <c r="J72" s="70" t="s">
        <v>336</v>
      </c>
      <c r="K72" s="70">
        <v>39518.400000000001</v>
      </c>
      <c r="L72" s="70">
        <v>9879.6</v>
      </c>
      <c r="M72" s="70">
        <v>0</v>
      </c>
      <c r="N72" s="73">
        <v>49398</v>
      </c>
    </row>
    <row r="73" spans="1:14" ht="66.75" customHeight="1" x14ac:dyDescent="0.25">
      <c r="A73" s="74" t="s">
        <v>341</v>
      </c>
      <c r="B73" s="75" t="s">
        <v>487</v>
      </c>
      <c r="C73" s="76" t="s">
        <v>680</v>
      </c>
      <c r="D73" s="76" t="s">
        <v>488</v>
      </c>
      <c r="E73" s="71" t="s">
        <v>829</v>
      </c>
      <c r="F73" s="75" t="s">
        <v>60</v>
      </c>
      <c r="G73" s="75" t="s">
        <v>100</v>
      </c>
      <c r="H73" s="75" t="s">
        <v>462</v>
      </c>
      <c r="I73" s="77" t="s">
        <v>342</v>
      </c>
      <c r="J73" s="75" t="s">
        <v>336</v>
      </c>
      <c r="K73" s="75">
        <v>39518.400000000001</v>
      </c>
      <c r="L73" s="75">
        <v>9879.6</v>
      </c>
      <c r="M73" s="75">
        <v>0</v>
      </c>
      <c r="N73" s="78">
        <v>49398</v>
      </c>
    </row>
    <row r="74" spans="1:14" ht="66.75" customHeight="1" x14ac:dyDescent="0.25">
      <c r="A74" s="69" t="s">
        <v>337</v>
      </c>
      <c r="B74" s="70" t="s">
        <v>489</v>
      </c>
      <c r="C74" s="71" t="s">
        <v>686</v>
      </c>
      <c r="D74" s="71" t="s">
        <v>490</v>
      </c>
      <c r="E74" s="71" t="s">
        <v>804</v>
      </c>
      <c r="F74" s="70" t="s">
        <v>60</v>
      </c>
      <c r="G74" s="70" t="s">
        <v>100</v>
      </c>
      <c r="H74" s="70" t="s">
        <v>462</v>
      </c>
      <c r="I74" s="72" t="s">
        <v>335</v>
      </c>
      <c r="J74" s="70" t="s">
        <v>336</v>
      </c>
      <c r="K74" s="70">
        <v>41565</v>
      </c>
      <c r="L74" s="70">
        <v>17813</v>
      </c>
      <c r="M74" s="70">
        <v>0</v>
      </c>
      <c r="N74" s="73">
        <v>59378</v>
      </c>
    </row>
    <row r="75" spans="1:14" ht="66.75" customHeight="1" x14ac:dyDescent="0.25">
      <c r="A75" s="74" t="s">
        <v>341</v>
      </c>
      <c r="B75" s="75" t="s">
        <v>491</v>
      </c>
      <c r="C75" s="76" t="s">
        <v>687</v>
      </c>
      <c r="D75" s="76" t="s">
        <v>492</v>
      </c>
      <c r="E75" s="76" t="s">
        <v>821</v>
      </c>
      <c r="F75" s="75" t="s">
        <v>60</v>
      </c>
      <c r="G75" s="75" t="s">
        <v>100</v>
      </c>
      <c r="H75" s="75" t="s">
        <v>462</v>
      </c>
      <c r="I75" s="77" t="s">
        <v>335</v>
      </c>
      <c r="J75" s="75" t="s">
        <v>336</v>
      </c>
      <c r="K75" s="75">
        <v>23100</v>
      </c>
      <c r="L75" s="75">
        <v>9900</v>
      </c>
      <c r="M75" s="75">
        <v>0</v>
      </c>
      <c r="N75" s="78">
        <v>33000</v>
      </c>
    </row>
    <row r="76" spans="1:14" ht="66.75" customHeight="1" x14ac:dyDescent="0.25">
      <c r="A76" s="69" t="s">
        <v>341</v>
      </c>
      <c r="B76" s="70" t="s">
        <v>493</v>
      </c>
      <c r="C76" s="71" t="s">
        <v>688</v>
      </c>
      <c r="D76" s="71" t="s">
        <v>494</v>
      </c>
      <c r="E76" s="71" t="s">
        <v>822</v>
      </c>
      <c r="F76" s="70" t="s">
        <v>60</v>
      </c>
      <c r="G76" s="70" t="s">
        <v>100</v>
      </c>
      <c r="H76" s="70" t="s">
        <v>462</v>
      </c>
      <c r="I76" s="72" t="s">
        <v>335</v>
      </c>
      <c r="J76" s="70" t="s">
        <v>336</v>
      </c>
      <c r="K76" s="70">
        <v>23100</v>
      </c>
      <c r="L76" s="70">
        <v>9900</v>
      </c>
      <c r="M76" s="70">
        <v>0</v>
      </c>
      <c r="N76" s="73">
        <v>33000</v>
      </c>
    </row>
    <row r="77" spans="1:14" ht="66.75" customHeight="1" x14ac:dyDescent="0.25">
      <c r="A77" s="74" t="s">
        <v>334</v>
      </c>
      <c r="B77" s="75" t="s">
        <v>497</v>
      </c>
      <c r="C77" s="76" t="s">
        <v>689</v>
      </c>
      <c r="D77" s="76" t="s">
        <v>498</v>
      </c>
      <c r="E77" s="76" t="s">
        <v>806</v>
      </c>
      <c r="F77" s="75" t="s">
        <v>495</v>
      </c>
      <c r="G77" s="75" t="s">
        <v>496</v>
      </c>
      <c r="H77" s="75" t="s">
        <v>499</v>
      </c>
      <c r="I77" s="77" t="s">
        <v>335</v>
      </c>
      <c r="J77" s="75" t="s">
        <v>336</v>
      </c>
      <c r="K77" s="75">
        <v>38678.44</v>
      </c>
      <c r="L77" s="75">
        <v>16576.48</v>
      </c>
      <c r="M77" s="75">
        <v>0</v>
      </c>
      <c r="N77" s="78">
        <v>55254.92</v>
      </c>
    </row>
    <row r="78" spans="1:14" ht="66.75" customHeight="1" x14ac:dyDescent="0.25">
      <c r="A78" s="69" t="s">
        <v>334</v>
      </c>
      <c r="B78" s="70" t="s">
        <v>500</v>
      </c>
      <c r="C78" s="71" t="s">
        <v>690</v>
      </c>
      <c r="D78" s="71" t="s">
        <v>501</v>
      </c>
      <c r="E78" s="71" t="s">
        <v>813</v>
      </c>
      <c r="F78" s="70" t="s">
        <v>495</v>
      </c>
      <c r="G78" s="70" t="s">
        <v>496</v>
      </c>
      <c r="H78" s="70" t="s">
        <v>499</v>
      </c>
      <c r="I78" s="72" t="s">
        <v>335</v>
      </c>
      <c r="J78" s="70" t="s">
        <v>336</v>
      </c>
      <c r="K78" s="70">
        <v>55893.599999999999</v>
      </c>
      <c r="L78" s="70">
        <v>23954.400000000001</v>
      </c>
      <c r="M78" s="70">
        <v>0</v>
      </c>
      <c r="N78" s="73">
        <v>79848</v>
      </c>
    </row>
    <row r="79" spans="1:14" ht="66.75" customHeight="1" x14ac:dyDescent="0.25">
      <c r="A79" s="74" t="s">
        <v>337</v>
      </c>
      <c r="B79" s="75" t="s">
        <v>502</v>
      </c>
      <c r="C79" s="76" t="s">
        <v>691</v>
      </c>
      <c r="D79" s="76" t="s">
        <v>503</v>
      </c>
      <c r="E79" s="76" t="s">
        <v>813</v>
      </c>
      <c r="F79" s="75" t="s">
        <v>495</v>
      </c>
      <c r="G79" s="75" t="s">
        <v>496</v>
      </c>
      <c r="H79" s="75" t="s">
        <v>499</v>
      </c>
      <c r="I79" s="77" t="s">
        <v>335</v>
      </c>
      <c r="J79" s="75" t="s">
        <v>336</v>
      </c>
      <c r="K79" s="75">
        <v>50400</v>
      </c>
      <c r="L79" s="75">
        <v>21600</v>
      </c>
      <c r="M79" s="75">
        <v>0</v>
      </c>
      <c r="N79" s="78">
        <v>72000</v>
      </c>
    </row>
    <row r="80" spans="1:14" ht="66.75" customHeight="1" x14ac:dyDescent="0.25">
      <c r="A80" s="69" t="s">
        <v>337</v>
      </c>
      <c r="B80" s="70" t="s">
        <v>504</v>
      </c>
      <c r="C80" s="71" t="s">
        <v>692</v>
      </c>
      <c r="D80" s="71" t="s">
        <v>505</v>
      </c>
      <c r="E80" s="71" t="s">
        <v>813</v>
      </c>
      <c r="F80" s="70" t="s">
        <v>495</v>
      </c>
      <c r="G80" s="70" t="s">
        <v>496</v>
      </c>
      <c r="H80" s="70" t="s">
        <v>499</v>
      </c>
      <c r="I80" s="72" t="s">
        <v>335</v>
      </c>
      <c r="J80" s="70" t="s">
        <v>336</v>
      </c>
      <c r="K80" s="70">
        <v>33600</v>
      </c>
      <c r="L80" s="70">
        <v>14400</v>
      </c>
      <c r="M80" s="70">
        <v>0</v>
      </c>
      <c r="N80" s="73">
        <v>48000</v>
      </c>
    </row>
    <row r="81" spans="1:14" ht="66.75" customHeight="1" x14ac:dyDescent="0.25">
      <c r="A81" s="74" t="s">
        <v>338</v>
      </c>
      <c r="B81" s="75" t="s">
        <v>506</v>
      </c>
      <c r="C81" s="76" t="s">
        <v>693</v>
      </c>
      <c r="D81" s="76" t="s">
        <v>507</v>
      </c>
      <c r="E81" s="76" t="s">
        <v>811</v>
      </c>
      <c r="F81" s="75" t="s">
        <v>495</v>
      </c>
      <c r="G81" s="75" t="s">
        <v>496</v>
      </c>
      <c r="H81" s="75" t="s">
        <v>499</v>
      </c>
      <c r="I81" s="77" t="s">
        <v>335</v>
      </c>
      <c r="J81" s="75" t="s">
        <v>336</v>
      </c>
      <c r="K81" s="75">
        <v>19670</v>
      </c>
      <c r="L81" s="75">
        <v>8430</v>
      </c>
      <c r="M81" s="75">
        <v>0</v>
      </c>
      <c r="N81" s="78">
        <v>28100</v>
      </c>
    </row>
    <row r="82" spans="1:14" ht="66.75" customHeight="1" x14ac:dyDescent="0.25">
      <c r="A82" s="69" t="s">
        <v>337</v>
      </c>
      <c r="B82" s="70" t="s">
        <v>509</v>
      </c>
      <c r="C82" s="71" t="s">
        <v>694</v>
      </c>
      <c r="D82" s="71" t="s">
        <v>510</v>
      </c>
      <c r="E82" s="71" t="s">
        <v>829</v>
      </c>
      <c r="F82" s="70" t="s">
        <v>210</v>
      </c>
      <c r="G82" s="70" t="s">
        <v>214</v>
      </c>
      <c r="H82" s="70" t="s">
        <v>252</v>
      </c>
      <c r="I82" s="72" t="s">
        <v>342</v>
      </c>
      <c r="J82" s="70" t="s">
        <v>336</v>
      </c>
      <c r="K82" s="70">
        <v>33650</v>
      </c>
      <c r="L82" s="70">
        <v>8413</v>
      </c>
      <c r="M82" s="70">
        <v>0</v>
      </c>
      <c r="N82" s="73">
        <v>42063</v>
      </c>
    </row>
    <row r="83" spans="1:14" ht="66.75" customHeight="1" x14ac:dyDescent="0.25">
      <c r="A83" s="74" t="s">
        <v>337</v>
      </c>
      <c r="B83" s="75" t="s">
        <v>511</v>
      </c>
      <c r="C83" s="76" t="s">
        <v>695</v>
      </c>
      <c r="D83" s="76" t="s">
        <v>512</v>
      </c>
      <c r="E83" s="76" t="s">
        <v>813</v>
      </c>
      <c r="F83" s="75" t="s">
        <v>210</v>
      </c>
      <c r="G83" s="75" t="s">
        <v>214</v>
      </c>
      <c r="H83" s="75" t="s">
        <v>252</v>
      </c>
      <c r="I83" s="77" t="s">
        <v>342</v>
      </c>
      <c r="J83" s="75" t="s">
        <v>336</v>
      </c>
      <c r="K83" s="75">
        <v>33633</v>
      </c>
      <c r="L83" s="75">
        <v>8430</v>
      </c>
      <c r="M83" s="75">
        <v>0</v>
      </c>
      <c r="N83" s="78">
        <v>42063</v>
      </c>
    </row>
    <row r="84" spans="1:14" ht="66.75" customHeight="1" x14ac:dyDescent="0.25">
      <c r="A84" s="69" t="s">
        <v>337</v>
      </c>
      <c r="B84" s="70" t="s">
        <v>513</v>
      </c>
      <c r="C84" s="71" t="s">
        <v>696</v>
      </c>
      <c r="D84" s="71" t="s">
        <v>514</v>
      </c>
      <c r="E84" s="71" t="s">
        <v>829</v>
      </c>
      <c r="F84" s="70" t="s">
        <v>210</v>
      </c>
      <c r="G84" s="70" t="s">
        <v>214</v>
      </c>
      <c r="H84" s="70" t="s">
        <v>252</v>
      </c>
      <c r="I84" s="72" t="s">
        <v>342</v>
      </c>
      <c r="J84" s="70" t="s">
        <v>336</v>
      </c>
      <c r="K84" s="70">
        <v>33650</v>
      </c>
      <c r="L84" s="70">
        <v>8413</v>
      </c>
      <c r="M84" s="70">
        <v>0</v>
      </c>
      <c r="N84" s="73">
        <v>42063</v>
      </c>
    </row>
    <row r="85" spans="1:14" ht="66.75" customHeight="1" x14ac:dyDescent="0.25">
      <c r="A85" s="74" t="s">
        <v>337</v>
      </c>
      <c r="B85" s="75" t="s">
        <v>515</v>
      </c>
      <c r="C85" s="76" t="s">
        <v>697</v>
      </c>
      <c r="D85" s="76" t="s">
        <v>516</v>
      </c>
      <c r="E85" s="71" t="s">
        <v>829</v>
      </c>
      <c r="F85" s="75" t="s">
        <v>210</v>
      </c>
      <c r="G85" s="75" t="s">
        <v>214</v>
      </c>
      <c r="H85" s="75" t="s">
        <v>252</v>
      </c>
      <c r="I85" s="77" t="s">
        <v>342</v>
      </c>
      <c r="J85" s="75" t="s">
        <v>336</v>
      </c>
      <c r="K85" s="75">
        <v>33650</v>
      </c>
      <c r="L85" s="75">
        <v>8413</v>
      </c>
      <c r="M85" s="75">
        <v>0</v>
      </c>
      <c r="N85" s="78">
        <v>42063</v>
      </c>
    </row>
    <row r="86" spans="1:14" ht="66.75" customHeight="1" x14ac:dyDescent="0.25">
      <c r="A86" s="69" t="s">
        <v>339</v>
      </c>
      <c r="B86" s="70" t="s">
        <v>517</v>
      </c>
      <c r="C86" s="71" t="s">
        <v>698</v>
      </c>
      <c r="D86" s="71" t="s">
        <v>518</v>
      </c>
      <c r="E86" s="71" t="s">
        <v>821</v>
      </c>
      <c r="F86" s="70" t="s">
        <v>210</v>
      </c>
      <c r="G86" s="70" t="s">
        <v>214</v>
      </c>
      <c r="H86" s="70" t="s">
        <v>286</v>
      </c>
      <c r="I86" s="72" t="s">
        <v>335</v>
      </c>
      <c r="J86" s="70" t="s">
        <v>336</v>
      </c>
      <c r="K86" s="70">
        <v>31926.3</v>
      </c>
      <c r="L86" s="70">
        <v>13682.7</v>
      </c>
      <c r="M86" s="70">
        <v>0</v>
      </c>
      <c r="N86" s="73">
        <v>45609</v>
      </c>
    </row>
    <row r="87" spans="1:14" ht="66.75" customHeight="1" x14ac:dyDescent="0.25">
      <c r="A87" s="74" t="s">
        <v>339</v>
      </c>
      <c r="B87" s="75" t="s">
        <v>519</v>
      </c>
      <c r="C87" s="76" t="s">
        <v>699</v>
      </c>
      <c r="D87" s="76" t="s">
        <v>520</v>
      </c>
      <c r="E87" s="76" t="s">
        <v>821</v>
      </c>
      <c r="F87" s="75" t="s">
        <v>210</v>
      </c>
      <c r="G87" s="75" t="s">
        <v>214</v>
      </c>
      <c r="H87" s="75" t="s">
        <v>286</v>
      </c>
      <c r="I87" s="77" t="s">
        <v>335</v>
      </c>
      <c r="J87" s="75" t="s">
        <v>336</v>
      </c>
      <c r="K87" s="75">
        <v>23100</v>
      </c>
      <c r="L87" s="75">
        <v>9900</v>
      </c>
      <c r="M87" s="75">
        <v>0</v>
      </c>
      <c r="N87" s="78">
        <v>33000</v>
      </c>
    </row>
    <row r="88" spans="1:14" ht="66.75" customHeight="1" x14ac:dyDescent="0.25">
      <c r="A88" s="69" t="s">
        <v>340</v>
      </c>
      <c r="B88" s="70" t="s">
        <v>521</v>
      </c>
      <c r="C88" s="71" t="s">
        <v>700</v>
      </c>
      <c r="D88" s="71" t="s">
        <v>522</v>
      </c>
      <c r="E88" s="71" t="s">
        <v>806</v>
      </c>
      <c r="F88" s="70" t="s">
        <v>210</v>
      </c>
      <c r="G88" s="70" t="s">
        <v>214</v>
      </c>
      <c r="H88" s="70" t="s">
        <v>286</v>
      </c>
      <c r="I88" s="72" t="s">
        <v>335</v>
      </c>
      <c r="J88" s="70" t="s">
        <v>336</v>
      </c>
      <c r="K88" s="70">
        <v>23100</v>
      </c>
      <c r="L88" s="70">
        <v>9900</v>
      </c>
      <c r="M88" s="70">
        <v>0</v>
      </c>
      <c r="N88" s="73">
        <v>33000</v>
      </c>
    </row>
    <row r="89" spans="1:14" ht="66.75" customHeight="1" x14ac:dyDescent="0.25">
      <c r="A89" s="74" t="s">
        <v>340</v>
      </c>
      <c r="B89" s="75" t="s">
        <v>523</v>
      </c>
      <c r="C89" s="76" t="s">
        <v>701</v>
      </c>
      <c r="D89" s="76" t="s">
        <v>524</v>
      </c>
      <c r="E89" s="76" t="s">
        <v>821</v>
      </c>
      <c r="F89" s="75" t="s">
        <v>210</v>
      </c>
      <c r="G89" s="75" t="s">
        <v>214</v>
      </c>
      <c r="H89" s="75" t="s">
        <v>286</v>
      </c>
      <c r="I89" s="77" t="s">
        <v>335</v>
      </c>
      <c r="J89" s="75" t="s">
        <v>336</v>
      </c>
      <c r="K89" s="75">
        <v>23100</v>
      </c>
      <c r="L89" s="75">
        <v>9900</v>
      </c>
      <c r="M89" s="75">
        <v>0</v>
      </c>
      <c r="N89" s="78">
        <v>33000</v>
      </c>
    </row>
    <row r="90" spans="1:14" ht="66.75" customHeight="1" x14ac:dyDescent="0.25">
      <c r="A90" s="69" t="s">
        <v>340</v>
      </c>
      <c r="B90" s="70" t="s">
        <v>525</v>
      </c>
      <c r="C90" s="71" t="s">
        <v>702</v>
      </c>
      <c r="D90" s="71" t="s">
        <v>526</v>
      </c>
      <c r="E90" s="76" t="s">
        <v>815</v>
      </c>
      <c r="F90" s="70" t="s">
        <v>210</v>
      </c>
      <c r="G90" s="70" t="s">
        <v>214</v>
      </c>
      <c r="H90" s="70" t="s">
        <v>286</v>
      </c>
      <c r="I90" s="72" t="s">
        <v>335</v>
      </c>
      <c r="J90" s="70" t="s">
        <v>336</v>
      </c>
      <c r="K90" s="70">
        <v>23100</v>
      </c>
      <c r="L90" s="70">
        <v>9900</v>
      </c>
      <c r="M90" s="70">
        <v>0</v>
      </c>
      <c r="N90" s="73">
        <v>33000</v>
      </c>
    </row>
    <row r="91" spans="1:14" ht="66.75" customHeight="1" x14ac:dyDescent="0.25">
      <c r="A91" s="74" t="s">
        <v>337</v>
      </c>
      <c r="B91" s="75" t="s">
        <v>527</v>
      </c>
      <c r="C91" s="76" t="s">
        <v>703</v>
      </c>
      <c r="D91" s="76" t="s">
        <v>528</v>
      </c>
      <c r="E91" s="76" t="s">
        <v>806</v>
      </c>
      <c r="F91" s="75" t="s">
        <v>210</v>
      </c>
      <c r="G91" s="75" t="s">
        <v>214</v>
      </c>
      <c r="H91" s="75" t="s">
        <v>236</v>
      </c>
      <c r="I91" s="77" t="s">
        <v>342</v>
      </c>
      <c r="J91" s="75" t="s">
        <v>336</v>
      </c>
      <c r="K91" s="75">
        <v>33650</v>
      </c>
      <c r="L91" s="75">
        <v>8413</v>
      </c>
      <c r="M91" s="75">
        <v>0</v>
      </c>
      <c r="N91" s="78">
        <v>42063</v>
      </c>
    </row>
    <row r="92" spans="1:14" ht="66.75" customHeight="1" x14ac:dyDescent="0.25">
      <c r="A92" s="69" t="s">
        <v>337</v>
      </c>
      <c r="B92" s="70" t="s">
        <v>529</v>
      </c>
      <c r="C92" s="71" t="s">
        <v>704</v>
      </c>
      <c r="D92" s="71" t="s">
        <v>530</v>
      </c>
      <c r="E92" s="71" t="s">
        <v>806</v>
      </c>
      <c r="F92" s="70" t="s">
        <v>210</v>
      </c>
      <c r="G92" s="70" t="s">
        <v>214</v>
      </c>
      <c r="H92" s="70" t="s">
        <v>236</v>
      </c>
      <c r="I92" s="72" t="s">
        <v>342</v>
      </c>
      <c r="J92" s="70" t="s">
        <v>336</v>
      </c>
      <c r="K92" s="70">
        <v>33650</v>
      </c>
      <c r="L92" s="70">
        <v>8413</v>
      </c>
      <c r="M92" s="70">
        <v>0</v>
      </c>
      <c r="N92" s="73">
        <v>42063</v>
      </c>
    </row>
    <row r="93" spans="1:14" ht="66.75" customHeight="1" x14ac:dyDescent="0.25">
      <c r="A93" s="74" t="s">
        <v>334</v>
      </c>
      <c r="B93" s="75" t="s">
        <v>531</v>
      </c>
      <c r="C93" s="76" t="s">
        <v>705</v>
      </c>
      <c r="D93" s="76" t="s">
        <v>532</v>
      </c>
      <c r="E93" s="76" t="s">
        <v>804</v>
      </c>
      <c r="F93" s="75" t="s">
        <v>210</v>
      </c>
      <c r="G93" s="75" t="s">
        <v>219</v>
      </c>
      <c r="H93" s="75" t="s">
        <v>533</v>
      </c>
      <c r="I93" s="77" t="s">
        <v>342</v>
      </c>
      <c r="J93" s="75" t="s">
        <v>336</v>
      </c>
      <c r="K93" s="75">
        <v>33720</v>
      </c>
      <c r="L93" s="75">
        <v>17100</v>
      </c>
      <c r="M93" s="75">
        <v>11152</v>
      </c>
      <c r="N93" s="78">
        <v>61972</v>
      </c>
    </row>
    <row r="94" spans="1:14" ht="66.75" customHeight="1" x14ac:dyDescent="0.25">
      <c r="A94" s="69" t="s">
        <v>341</v>
      </c>
      <c r="B94" s="70" t="s">
        <v>534</v>
      </c>
      <c r="C94" s="71" t="s">
        <v>706</v>
      </c>
      <c r="D94" s="71" t="s">
        <v>535</v>
      </c>
      <c r="E94" s="71" t="s">
        <v>824</v>
      </c>
      <c r="F94" s="70" t="s">
        <v>210</v>
      </c>
      <c r="G94" s="70" t="s">
        <v>219</v>
      </c>
      <c r="H94" s="70" t="s">
        <v>533</v>
      </c>
      <c r="I94" s="72" t="s">
        <v>335</v>
      </c>
      <c r="J94" s="70" t="s">
        <v>336</v>
      </c>
      <c r="K94" s="70">
        <v>39930.1</v>
      </c>
      <c r="L94" s="70">
        <v>17112.900000000001</v>
      </c>
      <c r="M94" s="70">
        <v>0</v>
      </c>
      <c r="N94" s="73">
        <v>57043</v>
      </c>
    </row>
    <row r="95" spans="1:14" ht="66.75" customHeight="1" x14ac:dyDescent="0.25">
      <c r="A95" s="74" t="s">
        <v>340</v>
      </c>
      <c r="B95" s="75" t="s">
        <v>536</v>
      </c>
      <c r="C95" s="76" t="s">
        <v>707</v>
      </c>
      <c r="D95" s="76" t="s">
        <v>537</v>
      </c>
      <c r="E95" s="76" t="s">
        <v>805</v>
      </c>
      <c r="F95" s="75" t="s">
        <v>304</v>
      </c>
      <c r="G95" s="75" t="s">
        <v>508</v>
      </c>
      <c r="H95" s="75" t="s">
        <v>538</v>
      </c>
      <c r="I95" s="77" t="s">
        <v>335</v>
      </c>
      <c r="J95" s="75" t="s">
        <v>336</v>
      </c>
      <c r="K95" s="75">
        <v>23100</v>
      </c>
      <c r="L95" s="75">
        <v>9900</v>
      </c>
      <c r="M95" s="75">
        <v>0</v>
      </c>
      <c r="N95" s="78">
        <v>33000</v>
      </c>
    </row>
    <row r="96" spans="1:14" ht="66.75" customHeight="1" x14ac:dyDescent="0.25">
      <c r="A96" s="69" t="s">
        <v>340</v>
      </c>
      <c r="B96" s="70" t="s">
        <v>539</v>
      </c>
      <c r="C96" s="71" t="s">
        <v>708</v>
      </c>
      <c r="D96" s="71" t="s">
        <v>540</v>
      </c>
      <c r="E96" s="71" t="s">
        <v>825</v>
      </c>
      <c r="F96" s="70" t="s">
        <v>304</v>
      </c>
      <c r="G96" s="70" t="s">
        <v>508</v>
      </c>
      <c r="H96" s="70" t="s">
        <v>538</v>
      </c>
      <c r="I96" s="72" t="s">
        <v>335</v>
      </c>
      <c r="J96" s="70" t="s">
        <v>336</v>
      </c>
      <c r="K96" s="70">
        <v>23100</v>
      </c>
      <c r="L96" s="70">
        <v>9900</v>
      </c>
      <c r="M96" s="70">
        <v>0</v>
      </c>
      <c r="N96" s="73">
        <v>33000</v>
      </c>
    </row>
    <row r="97" spans="1:14" ht="66.75" customHeight="1" x14ac:dyDescent="0.25">
      <c r="A97" s="79" t="s">
        <v>341</v>
      </c>
      <c r="B97" s="80" t="s">
        <v>541</v>
      </c>
      <c r="C97" s="81" t="s">
        <v>709</v>
      </c>
      <c r="D97" s="81" t="s">
        <v>542</v>
      </c>
      <c r="E97" s="81" t="s">
        <v>805</v>
      </c>
      <c r="F97" s="80" t="s">
        <v>304</v>
      </c>
      <c r="G97" s="80" t="s">
        <v>508</v>
      </c>
      <c r="H97" s="80" t="s">
        <v>538</v>
      </c>
      <c r="I97" s="82" t="s">
        <v>335</v>
      </c>
      <c r="J97" s="80" t="s">
        <v>336</v>
      </c>
      <c r="K97" s="80">
        <v>23100</v>
      </c>
      <c r="L97" s="80">
        <v>9900</v>
      </c>
      <c r="M97" s="80">
        <v>0</v>
      </c>
      <c r="N97" s="83">
        <v>33000</v>
      </c>
    </row>
    <row r="98" spans="1:14" x14ac:dyDescent="0.25">
      <c r="N98">
        <f>SUBTOTAL(9,N2:N97)</f>
        <v>4420794.3499999996</v>
      </c>
    </row>
    <row r="1048576" spans="5:5" x14ac:dyDescent="0.25">
      <c r="E1048576" s="71" t="s">
        <v>829</v>
      </c>
    </row>
  </sheetData>
  <autoFilter ref="A1:N97"/>
  <pageMargins left="0.70866141732283472" right="0.70866141732283472" top="0.74803149606299213" bottom="0.35433070866141736" header="0.31496062992125984" footer="0.31496062992125984"/>
  <pageSetup paperSize="9" scale="7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2:AH100"/>
  <sheetViews>
    <sheetView workbookViewId="0">
      <selection activeCell="E6" sqref="E6"/>
    </sheetView>
  </sheetViews>
  <sheetFormatPr baseColWidth="10" defaultRowHeight="15" x14ac:dyDescent="0.25"/>
  <cols>
    <col min="1" max="1" width="3.5703125" customWidth="1"/>
    <col min="2" max="2" width="10.42578125" customWidth="1"/>
    <col min="4" max="4" width="27.42578125" customWidth="1"/>
    <col min="5" max="5" width="49.5703125" customWidth="1"/>
    <col min="6" max="6" width="7.85546875" customWidth="1"/>
    <col min="7" max="7" width="10.140625" customWidth="1"/>
    <col min="8" max="8" width="9.42578125" customWidth="1"/>
    <col min="9" max="9" width="6.140625" customWidth="1"/>
    <col min="10" max="10" width="9.7109375" customWidth="1"/>
    <col min="11" max="11" width="10" customWidth="1"/>
    <col min="13" max="13" width="7.7109375" customWidth="1"/>
    <col min="14" max="14" width="8" customWidth="1"/>
  </cols>
  <sheetData>
    <row r="2" spans="1:34" ht="19.5" thickBot="1" x14ac:dyDescent="0.3">
      <c r="B2" s="284" t="s">
        <v>679</v>
      </c>
      <c r="C2" s="284"/>
      <c r="D2" s="284"/>
      <c r="E2" s="284"/>
      <c r="F2" s="284"/>
      <c r="G2" s="284"/>
      <c r="H2" s="284"/>
      <c r="I2" s="284"/>
      <c r="J2" s="284"/>
      <c r="K2" s="284"/>
      <c r="L2" s="284"/>
      <c r="M2" s="284"/>
      <c r="N2" s="284"/>
      <c r="O2" s="96"/>
      <c r="P2" s="96"/>
      <c r="Q2" s="96"/>
      <c r="R2" s="96"/>
      <c r="S2" s="96"/>
      <c r="T2" s="96"/>
      <c r="U2" s="96"/>
      <c r="V2" s="96"/>
      <c r="W2" s="96"/>
      <c r="X2" s="96"/>
      <c r="Y2" s="96"/>
      <c r="Z2" s="96"/>
      <c r="AA2" s="96"/>
      <c r="AB2" s="96"/>
      <c r="AC2" s="96"/>
      <c r="AD2" s="96"/>
      <c r="AE2" s="96"/>
      <c r="AF2" s="96"/>
      <c r="AG2" s="96"/>
      <c r="AH2" s="96"/>
    </row>
    <row r="3" spans="1:34" ht="30.75" customHeight="1" thickBot="1" x14ac:dyDescent="0.3">
      <c r="B3" s="65" t="s">
        <v>325</v>
      </c>
      <c r="C3" s="66" t="s">
        <v>326</v>
      </c>
      <c r="D3" s="66" t="s">
        <v>607</v>
      </c>
      <c r="E3" s="67" t="s">
        <v>327</v>
      </c>
      <c r="F3" s="66" t="s">
        <v>322</v>
      </c>
      <c r="G3" s="66" t="s">
        <v>7</v>
      </c>
      <c r="H3" s="66" t="s">
        <v>8</v>
      </c>
      <c r="I3" s="67" t="s">
        <v>328</v>
      </c>
      <c r="J3" s="66" t="s">
        <v>329</v>
      </c>
      <c r="K3" s="67" t="s">
        <v>330</v>
      </c>
      <c r="L3" s="67" t="s">
        <v>331</v>
      </c>
      <c r="M3" s="67" t="s">
        <v>332</v>
      </c>
      <c r="N3" s="68" t="s">
        <v>333</v>
      </c>
      <c r="O3" s="97"/>
      <c r="P3" s="97"/>
      <c r="Q3" s="97"/>
      <c r="R3" s="97"/>
      <c r="S3" s="97"/>
      <c r="T3" s="97"/>
      <c r="U3" s="97"/>
      <c r="V3" s="97"/>
      <c r="W3" s="97"/>
      <c r="X3" s="97"/>
      <c r="Y3" s="97"/>
      <c r="Z3" s="97"/>
      <c r="AA3" s="97"/>
      <c r="AB3" s="97"/>
      <c r="AC3" s="97"/>
      <c r="AD3" s="97"/>
      <c r="AE3" s="97"/>
      <c r="AF3" s="97"/>
      <c r="AG3" s="97"/>
      <c r="AH3" s="97"/>
    </row>
    <row r="4" spans="1:34" ht="66.75" customHeight="1" thickTop="1" x14ac:dyDescent="0.25">
      <c r="A4" s="1">
        <v>1</v>
      </c>
      <c r="B4" s="69" t="s">
        <v>334</v>
      </c>
      <c r="C4" s="70" t="s">
        <v>343</v>
      </c>
      <c r="D4" s="71" t="s">
        <v>608</v>
      </c>
      <c r="E4" s="71" t="s">
        <v>344</v>
      </c>
      <c r="F4" s="70" t="s">
        <v>60</v>
      </c>
      <c r="G4" s="70" t="s">
        <v>75</v>
      </c>
      <c r="H4" s="70" t="s">
        <v>81</v>
      </c>
      <c r="I4" s="72" t="s">
        <v>342</v>
      </c>
      <c r="J4" s="70" t="s">
        <v>336</v>
      </c>
      <c r="K4" s="70">
        <v>32003.200000000001</v>
      </c>
      <c r="L4" s="70">
        <v>8000.8</v>
      </c>
      <c r="M4" s="70">
        <v>0</v>
      </c>
      <c r="N4" s="73">
        <v>40004</v>
      </c>
    </row>
    <row r="5" spans="1:34" ht="66.75" customHeight="1" x14ac:dyDescent="0.25">
      <c r="A5" s="1">
        <v>2</v>
      </c>
      <c r="B5" s="74" t="s">
        <v>334</v>
      </c>
      <c r="C5" s="75" t="s">
        <v>345</v>
      </c>
      <c r="D5" s="76" t="s">
        <v>615</v>
      </c>
      <c r="E5" s="76" t="s">
        <v>346</v>
      </c>
      <c r="F5" s="75" t="s">
        <v>60</v>
      </c>
      <c r="G5" s="75" t="s">
        <v>75</v>
      </c>
      <c r="H5" s="75" t="s">
        <v>81</v>
      </c>
      <c r="I5" s="77" t="s">
        <v>342</v>
      </c>
      <c r="J5" s="75" t="s">
        <v>336</v>
      </c>
      <c r="K5" s="75">
        <v>32003.200000000001</v>
      </c>
      <c r="L5" s="75">
        <v>8000.8</v>
      </c>
      <c r="M5" s="75">
        <v>0</v>
      </c>
      <c r="N5" s="78">
        <v>40004</v>
      </c>
    </row>
    <row r="6" spans="1:34" ht="66.75" customHeight="1" x14ac:dyDescent="0.25">
      <c r="A6" s="1">
        <v>3</v>
      </c>
      <c r="B6" s="69" t="s">
        <v>334</v>
      </c>
      <c r="C6" s="70" t="s">
        <v>347</v>
      </c>
      <c r="D6" s="71" t="s">
        <v>616</v>
      </c>
      <c r="E6" s="71" t="s">
        <v>348</v>
      </c>
      <c r="F6" s="70" t="s">
        <v>60</v>
      </c>
      <c r="G6" s="70" t="s">
        <v>75</v>
      </c>
      <c r="H6" s="70" t="s">
        <v>81</v>
      </c>
      <c r="I6" s="72" t="s">
        <v>342</v>
      </c>
      <c r="J6" s="70" t="s">
        <v>336</v>
      </c>
      <c r="K6" s="70">
        <v>33432</v>
      </c>
      <c r="L6" s="70">
        <v>8358</v>
      </c>
      <c r="M6" s="70">
        <v>0</v>
      </c>
      <c r="N6" s="73">
        <v>41790</v>
      </c>
    </row>
    <row r="7" spans="1:34" ht="66.75" customHeight="1" x14ac:dyDescent="0.25">
      <c r="A7" s="1">
        <v>4</v>
      </c>
      <c r="B7" s="74" t="s">
        <v>334</v>
      </c>
      <c r="C7" s="75" t="s">
        <v>349</v>
      </c>
      <c r="D7" s="76" t="s">
        <v>609</v>
      </c>
      <c r="E7" s="76" t="s">
        <v>350</v>
      </c>
      <c r="F7" s="75" t="s">
        <v>60</v>
      </c>
      <c r="G7" s="75" t="s">
        <v>75</v>
      </c>
      <c r="H7" s="75" t="s">
        <v>81</v>
      </c>
      <c r="I7" s="77" t="s">
        <v>342</v>
      </c>
      <c r="J7" s="75" t="s">
        <v>336</v>
      </c>
      <c r="K7" s="75">
        <v>33432</v>
      </c>
      <c r="L7" s="75">
        <v>8358</v>
      </c>
      <c r="M7" s="75">
        <v>0</v>
      </c>
      <c r="N7" s="78">
        <v>41790</v>
      </c>
    </row>
    <row r="8" spans="1:34" ht="66.75" customHeight="1" x14ac:dyDescent="0.25">
      <c r="A8" s="1">
        <v>5</v>
      </c>
      <c r="B8" s="69" t="s">
        <v>337</v>
      </c>
      <c r="C8" s="70" t="s">
        <v>351</v>
      </c>
      <c r="D8" s="71" t="s">
        <v>617</v>
      </c>
      <c r="E8" s="71" t="s">
        <v>352</v>
      </c>
      <c r="F8" s="70" t="s">
        <v>60</v>
      </c>
      <c r="G8" s="70" t="s">
        <v>75</v>
      </c>
      <c r="H8" s="70" t="s">
        <v>81</v>
      </c>
      <c r="I8" s="72" t="s">
        <v>342</v>
      </c>
      <c r="J8" s="70" t="s">
        <v>336</v>
      </c>
      <c r="K8" s="70">
        <v>33664</v>
      </c>
      <c r="L8" s="70">
        <v>8416</v>
      </c>
      <c r="M8" s="70">
        <v>0</v>
      </c>
      <c r="N8" s="73">
        <v>42080</v>
      </c>
    </row>
    <row r="9" spans="1:34" ht="66.75" customHeight="1" x14ac:dyDescent="0.25">
      <c r="A9" s="1">
        <v>6</v>
      </c>
      <c r="B9" s="74" t="s">
        <v>337</v>
      </c>
      <c r="C9" s="75" t="s">
        <v>353</v>
      </c>
      <c r="D9" s="76" t="s">
        <v>610</v>
      </c>
      <c r="E9" s="76" t="s">
        <v>354</v>
      </c>
      <c r="F9" s="75" t="s">
        <v>60</v>
      </c>
      <c r="G9" s="75" t="s">
        <v>75</v>
      </c>
      <c r="H9" s="75" t="s">
        <v>81</v>
      </c>
      <c r="I9" s="77" t="s">
        <v>342</v>
      </c>
      <c r="J9" s="75" t="s">
        <v>336</v>
      </c>
      <c r="K9" s="75">
        <v>33664</v>
      </c>
      <c r="L9" s="75">
        <v>8416</v>
      </c>
      <c r="M9" s="75">
        <v>0</v>
      </c>
      <c r="N9" s="78">
        <v>42080</v>
      </c>
    </row>
    <row r="10" spans="1:34" ht="66.75" customHeight="1" x14ac:dyDescent="0.25">
      <c r="A10" s="1">
        <v>7</v>
      </c>
      <c r="B10" s="69" t="s">
        <v>337</v>
      </c>
      <c r="C10" s="70" t="s">
        <v>355</v>
      </c>
      <c r="D10" s="71" t="s">
        <v>611</v>
      </c>
      <c r="E10" s="71" t="s">
        <v>356</v>
      </c>
      <c r="F10" s="70" t="s">
        <v>60</v>
      </c>
      <c r="G10" s="70" t="s">
        <v>75</v>
      </c>
      <c r="H10" s="70" t="s">
        <v>81</v>
      </c>
      <c r="I10" s="72" t="s">
        <v>342</v>
      </c>
      <c r="J10" s="70" t="s">
        <v>336</v>
      </c>
      <c r="K10" s="70">
        <v>33600</v>
      </c>
      <c r="L10" s="70">
        <v>8400</v>
      </c>
      <c r="M10" s="70">
        <v>0</v>
      </c>
      <c r="N10" s="73">
        <v>42000</v>
      </c>
    </row>
    <row r="11" spans="1:34" ht="66.75" customHeight="1" x14ac:dyDescent="0.25">
      <c r="A11" s="1">
        <v>8</v>
      </c>
      <c r="B11" s="74" t="s">
        <v>337</v>
      </c>
      <c r="C11" s="75" t="s">
        <v>357</v>
      </c>
      <c r="D11" s="76" t="s">
        <v>618</v>
      </c>
      <c r="E11" s="76" t="s">
        <v>358</v>
      </c>
      <c r="F11" s="75" t="s">
        <v>60</v>
      </c>
      <c r="G11" s="75" t="s">
        <v>75</v>
      </c>
      <c r="H11" s="75" t="s">
        <v>81</v>
      </c>
      <c r="I11" s="77" t="s">
        <v>342</v>
      </c>
      <c r="J11" s="75" t="s">
        <v>336</v>
      </c>
      <c r="K11" s="75">
        <v>33650</v>
      </c>
      <c r="L11" s="75">
        <v>8413</v>
      </c>
      <c r="M11" s="75">
        <v>0</v>
      </c>
      <c r="N11" s="78">
        <v>42063</v>
      </c>
    </row>
    <row r="12" spans="1:34" ht="66.75" customHeight="1" x14ac:dyDescent="0.25">
      <c r="A12" s="1">
        <v>9</v>
      </c>
      <c r="B12" s="69" t="s">
        <v>337</v>
      </c>
      <c r="C12" s="70" t="s">
        <v>359</v>
      </c>
      <c r="D12" s="71" t="s">
        <v>612</v>
      </c>
      <c r="E12" s="71" t="s">
        <v>360</v>
      </c>
      <c r="F12" s="70" t="s">
        <v>60</v>
      </c>
      <c r="G12" s="70" t="s">
        <v>75</v>
      </c>
      <c r="H12" s="70" t="s">
        <v>81</v>
      </c>
      <c r="I12" s="72" t="s">
        <v>342</v>
      </c>
      <c r="J12" s="70" t="s">
        <v>336</v>
      </c>
      <c r="K12" s="70">
        <v>33650</v>
      </c>
      <c r="L12" s="70">
        <v>8412</v>
      </c>
      <c r="M12" s="70">
        <v>0</v>
      </c>
      <c r="N12" s="73">
        <v>42062</v>
      </c>
    </row>
    <row r="13" spans="1:34" ht="66.75" customHeight="1" x14ac:dyDescent="0.25">
      <c r="A13" s="1">
        <v>10</v>
      </c>
      <c r="B13" s="74" t="s">
        <v>337</v>
      </c>
      <c r="C13" s="75" t="s">
        <v>361</v>
      </c>
      <c r="D13" s="76" t="s">
        <v>619</v>
      </c>
      <c r="E13" s="76" t="s">
        <v>362</v>
      </c>
      <c r="F13" s="75" t="s">
        <v>60</v>
      </c>
      <c r="G13" s="75" t="s">
        <v>75</v>
      </c>
      <c r="H13" s="75" t="s">
        <v>81</v>
      </c>
      <c r="I13" s="77" t="s">
        <v>342</v>
      </c>
      <c r="J13" s="75" t="s">
        <v>336</v>
      </c>
      <c r="K13" s="75">
        <v>33650</v>
      </c>
      <c r="L13" s="75">
        <v>8413</v>
      </c>
      <c r="M13" s="75">
        <v>0</v>
      </c>
      <c r="N13" s="78">
        <v>42063</v>
      </c>
    </row>
    <row r="14" spans="1:34" ht="66.75" customHeight="1" x14ac:dyDescent="0.25">
      <c r="A14" s="1">
        <v>11</v>
      </c>
      <c r="B14" s="69" t="s">
        <v>339</v>
      </c>
      <c r="C14" s="70" t="s">
        <v>363</v>
      </c>
      <c r="D14" s="71" t="s">
        <v>620</v>
      </c>
      <c r="E14" s="71" t="s">
        <v>364</v>
      </c>
      <c r="F14" s="70" t="s">
        <v>60</v>
      </c>
      <c r="G14" s="70" t="s">
        <v>75</v>
      </c>
      <c r="H14" s="70" t="s">
        <v>81</v>
      </c>
      <c r="I14" s="72" t="s">
        <v>342</v>
      </c>
      <c r="J14" s="70" t="s">
        <v>336</v>
      </c>
      <c r="K14" s="70">
        <v>39518.400000000001</v>
      </c>
      <c r="L14" s="70">
        <v>9879.6</v>
      </c>
      <c r="M14" s="70">
        <v>0</v>
      </c>
      <c r="N14" s="73">
        <v>49398</v>
      </c>
    </row>
    <row r="15" spans="1:34" ht="66.75" customHeight="1" x14ac:dyDescent="0.25">
      <c r="A15" s="1">
        <v>12</v>
      </c>
      <c r="B15" s="74" t="s">
        <v>339</v>
      </c>
      <c r="C15" s="75" t="s">
        <v>365</v>
      </c>
      <c r="D15" s="76" t="s">
        <v>621</v>
      </c>
      <c r="E15" s="76" t="s">
        <v>366</v>
      </c>
      <c r="F15" s="75" t="s">
        <v>60</v>
      </c>
      <c r="G15" s="75" t="s">
        <v>75</v>
      </c>
      <c r="H15" s="75" t="s">
        <v>81</v>
      </c>
      <c r="I15" s="77" t="s">
        <v>342</v>
      </c>
      <c r="J15" s="75" t="s">
        <v>336</v>
      </c>
      <c r="K15" s="75">
        <v>39518.400000000001</v>
      </c>
      <c r="L15" s="75">
        <v>9879.6</v>
      </c>
      <c r="M15" s="75">
        <v>0</v>
      </c>
      <c r="N15" s="78">
        <v>49398</v>
      </c>
    </row>
    <row r="16" spans="1:34" ht="66.75" customHeight="1" x14ac:dyDescent="0.25">
      <c r="A16" s="1">
        <v>13</v>
      </c>
      <c r="B16" s="69" t="s">
        <v>339</v>
      </c>
      <c r="C16" s="70" t="s">
        <v>367</v>
      </c>
      <c r="D16" s="71" t="s">
        <v>622</v>
      </c>
      <c r="E16" s="71" t="s">
        <v>368</v>
      </c>
      <c r="F16" s="70" t="s">
        <v>60</v>
      </c>
      <c r="G16" s="70" t="s">
        <v>75</v>
      </c>
      <c r="H16" s="70" t="s">
        <v>81</v>
      </c>
      <c r="I16" s="72" t="s">
        <v>342</v>
      </c>
      <c r="J16" s="70" t="s">
        <v>336</v>
      </c>
      <c r="K16" s="70">
        <v>39518.400000000001</v>
      </c>
      <c r="L16" s="70">
        <v>9879.6</v>
      </c>
      <c r="M16" s="70">
        <v>0</v>
      </c>
      <c r="N16" s="73">
        <v>49398</v>
      </c>
    </row>
    <row r="17" spans="1:14" ht="66.75" customHeight="1" x14ac:dyDescent="0.25">
      <c r="A17" s="1">
        <v>14</v>
      </c>
      <c r="B17" s="74" t="s">
        <v>339</v>
      </c>
      <c r="C17" s="75" t="s">
        <v>369</v>
      </c>
      <c r="D17" s="76" t="s">
        <v>613</v>
      </c>
      <c r="E17" s="76" t="s">
        <v>370</v>
      </c>
      <c r="F17" s="75" t="s">
        <v>60</v>
      </c>
      <c r="G17" s="75" t="s">
        <v>75</v>
      </c>
      <c r="H17" s="75" t="s">
        <v>81</v>
      </c>
      <c r="I17" s="77" t="s">
        <v>342</v>
      </c>
      <c r="J17" s="75" t="s">
        <v>336</v>
      </c>
      <c r="K17" s="75">
        <v>39518.400000000001</v>
      </c>
      <c r="L17" s="75">
        <v>9879.6</v>
      </c>
      <c r="M17" s="75">
        <v>0</v>
      </c>
      <c r="N17" s="78">
        <v>49398</v>
      </c>
    </row>
    <row r="18" spans="1:14" ht="66.75" customHeight="1" x14ac:dyDescent="0.25">
      <c r="A18" s="1">
        <v>15</v>
      </c>
      <c r="B18" s="69" t="s">
        <v>340</v>
      </c>
      <c r="C18" s="70" t="s">
        <v>371</v>
      </c>
      <c r="D18" s="71" t="s">
        <v>623</v>
      </c>
      <c r="E18" s="71" t="s">
        <v>372</v>
      </c>
      <c r="F18" s="70" t="s">
        <v>60</v>
      </c>
      <c r="G18" s="70" t="s">
        <v>75</v>
      </c>
      <c r="H18" s="70" t="s">
        <v>81</v>
      </c>
      <c r="I18" s="72" t="s">
        <v>342</v>
      </c>
      <c r="J18" s="70" t="s">
        <v>336</v>
      </c>
      <c r="K18" s="70">
        <v>39518.400000000001</v>
      </c>
      <c r="L18" s="70">
        <v>9879.6</v>
      </c>
      <c r="M18" s="70">
        <v>0</v>
      </c>
      <c r="N18" s="73">
        <v>49398</v>
      </c>
    </row>
    <row r="19" spans="1:14" ht="66.75" customHeight="1" x14ac:dyDescent="0.25">
      <c r="A19" s="1">
        <v>16</v>
      </c>
      <c r="B19" s="74" t="s">
        <v>340</v>
      </c>
      <c r="C19" s="75" t="s">
        <v>373</v>
      </c>
      <c r="D19" s="76" t="s">
        <v>624</v>
      </c>
      <c r="E19" s="76" t="s">
        <v>374</v>
      </c>
      <c r="F19" s="75" t="s">
        <v>60</v>
      </c>
      <c r="G19" s="75" t="s">
        <v>75</v>
      </c>
      <c r="H19" s="75" t="s">
        <v>81</v>
      </c>
      <c r="I19" s="77" t="s">
        <v>342</v>
      </c>
      <c r="J19" s="75" t="s">
        <v>336</v>
      </c>
      <c r="K19" s="75">
        <v>39518.400000000001</v>
      </c>
      <c r="L19" s="75">
        <v>9879.6</v>
      </c>
      <c r="M19" s="75">
        <v>0</v>
      </c>
      <c r="N19" s="78">
        <v>49398</v>
      </c>
    </row>
    <row r="20" spans="1:14" ht="66.75" customHeight="1" x14ac:dyDescent="0.25">
      <c r="A20" s="1">
        <v>17</v>
      </c>
      <c r="B20" s="69" t="s">
        <v>340</v>
      </c>
      <c r="C20" s="70" t="s">
        <v>375</v>
      </c>
      <c r="D20" s="71" t="s">
        <v>625</v>
      </c>
      <c r="E20" s="71" t="s">
        <v>376</v>
      </c>
      <c r="F20" s="70" t="s">
        <v>60</v>
      </c>
      <c r="G20" s="70" t="s">
        <v>75</v>
      </c>
      <c r="H20" s="70" t="s">
        <v>81</v>
      </c>
      <c r="I20" s="72" t="s">
        <v>342</v>
      </c>
      <c r="J20" s="70" t="s">
        <v>336</v>
      </c>
      <c r="K20" s="70">
        <v>39518.400000000001</v>
      </c>
      <c r="L20" s="70">
        <v>9879.6</v>
      </c>
      <c r="M20" s="70">
        <v>0</v>
      </c>
      <c r="N20" s="73">
        <v>49398</v>
      </c>
    </row>
    <row r="21" spans="1:14" ht="66.75" customHeight="1" x14ac:dyDescent="0.25">
      <c r="A21" s="1">
        <v>18</v>
      </c>
      <c r="B21" s="74" t="s">
        <v>340</v>
      </c>
      <c r="C21" s="75" t="s">
        <v>377</v>
      </c>
      <c r="D21" s="76" t="s">
        <v>614</v>
      </c>
      <c r="E21" s="76" t="s">
        <v>378</v>
      </c>
      <c r="F21" s="75" t="s">
        <v>60</v>
      </c>
      <c r="G21" s="75" t="s">
        <v>75</v>
      </c>
      <c r="H21" s="75" t="s">
        <v>81</v>
      </c>
      <c r="I21" s="77" t="s">
        <v>342</v>
      </c>
      <c r="J21" s="75" t="s">
        <v>336</v>
      </c>
      <c r="K21" s="75">
        <v>39518.400000000001</v>
      </c>
      <c r="L21" s="75">
        <v>9879.6</v>
      </c>
      <c r="M21" s="75">
        <v>0</v>
      </c>
      <c r="N21" s="78">
        <v>49398</v>
      </c>
    </row>
    <row r="22" spans="1:14" ht="66.75" customHeight="1" x14ac:dyDescent="0.25">
      <c r="A22" s="1">
        <v>19</v>
      </c>
      <c r="B22" s="69" t="s">
        <v>340</v>
      </c>
      <c r="C22" s="70" t="s">
        <v>379</v>
      </c>
      <c r="D22" s="71" t="s">
        <v>626</v>
      </c>
      <c r="E22" s="71" t="s">
        <v>380</v>
      </c>
      <c r="F22" s="70" t="s">
        <v>60</v>
      </c>
      <c r="G22" s="70" t="s">
        <v>75</v>
      </c>
      <c r="H22" s="70" t="s">
        <v>81</v>
      </c>
      <c r="I22" s="72" t="s">
        <v>342</v>
      </c>
      <c r="J22" s="70" t="s">
        <v>336</v>
      </c>
      <c r="K22" s="70">
        <v>39518.400000000001</v>
      </c>
      <c r="L22" s="70">
        <v>9879.6</v>
      </c>
      <c r="M22" s="70">
        <v>0</v>
      </c>
      <c r="N22" s="73">
        <v>49398</v>
      </c>
    </row>
    <row r="23" spans="1:14" ht="66.75" customHeight="1" x14ac:dyDescent="0.25">
      <c r="A23" s="1">
        <v>20</v>
      </c>
      <c r="B23" s="74" t="s">
        <v>340</v>
      </c>
      <c r="C23" s="75" t="s">
        <v>381</v>
      </c>
      <c r="D23" s="76" t="s">
        <v>627</v>
      </c>
      <c r="E23" s="76" t="s">
        <v>382</v>
      </c>
      <c r="F23" s="75" t="s">
        <v>60</v>
      </c>
      <c r="G23" s="75" t="s">
        <v>75</v>
      </c>
      <c r="H23" s="75" t="s">
        <v>81</v>
      </c>
      <c r="I23" s="77" t="s">
        <v>342</v>
      </c>
      <c r="J23" s="75" t="s">
        <v>336</v>
      </c>
      <c r="K23" s="75">
        <v>39518.400000000001</v>
      </c>
      <c r="L23" s="75">
        <v>9879.6</v>
      </c>
      <c r="M23" s="75">
        <v>0</v>
      </c>
      <c r="N23" s="78">
        <v>49398</v>
      </c>
    </row>
    <row r="24" spans="1:14" ht="66.75" customHeight="1" x14ac:dyDescent="0.25">
      <c r="A24" s="1">
        <v>21</v>
      </c>
      <c r="B24" s="69" t="s">
        <v>340</v>
      </c>
      <c r="C24" s="70" t="s">
        <v>383</v>
      </c>
      <c r="D24" s="71" t="s">
        <v>628</v>
      </c>
      <c r="E24" s="71" t="s">
        <v>384</v>
      </c>
      <c r="F24" s="70" t="s">
        <v>60</v>
      </c>
      <c r="G24" s="70" t="s">
        <v>75</v>
      </c>
      <c r="H24" s="70" t="s">
        <v>81</v>
      </c>
      <c r="I24" s="72" t="s">
        <v>342</v>
      </c>
      <c r="J24" s="70" t="s">
        <v>336</v>
      </c>
      <c r="K24" s="70">
        <v>39518.400000000001</v>
      </c>
      <c r="L24" s="70">
        <v>9879.6</v>
      </c>
      <c r="M24" s="70">
        <v>0</v>
      </c>
      <c r="N24" s="73">
        <v>49398</v>
      </c>
    </row>
    <row r="25" spans="1:14" ht="66.75" customHeight="1" x14ac:dyDescent="0.25">
      <c r="A25" s="1">
        <v>22</v>
      </c>
      <c r="B25" s="74" t="s">
        <v>340</v>
      </c>
      <c r="C25" s="75" t="s">
        <v>385</v>
      </c>
      <c r="D25" s="76" t="s">
        <v>629</v>
      </c>
      <c r="E25" s="76" t="s">
        <v>386</v>
      </c>
      <c r="F25" s="75" t="s">
        <v>60</v>
      </c>
      <c r="G25" s="75" t="s">
        <v>75</v>
      </c>
      <c r="H25" s="75" t="s">
        <v>81</v>
      </c>
      <c r="I25" s="77" t="s">
        <v>342</v>
      </c>
      <c r="J25" s="75" t="s">
        <v>336</v>
      </c>
      <c r="K25" s="75">
        <v>39518.400000000001</v>
      </c>
      <c r="L25" s="75">
        <v>9879.6</v>
      </c>
      <c r="M25" s="75">
        <v>0</v>
      </c>
      <c r="N25" s="78">
        <v>49398</v>
      </c>
    </row>
    <row r="26" spans="1:14" ht="66.75" customHeight="1" x14ac:dyDescent="0.25">
      <c r="A26" s="1">
        <v>23</v>
      </c>
      <c r="B26" s="69" t="s">
        <v>340</v>
      </c>
      <c r="C26" s="70" t="s">
        <v>387</v>
      </c>
      <c r="D26" s="71" t="s">
        <v>630</v>
      </c>
      <c r="E26" s="71" t="s">
        <v>388</v>
      </c>
      <c r="F26" s="70" t="s">
        <v>60</v>
      </c>
      <c r="G26" s="70" t="s">
        <v>75</v>
      </c>
      <c r="H26" s="70" t="s">
        <v>81</v>
      </c>
      <c r="I26" s="72" t="s">
        <v>342</v>
      </c>
      <c r="J26" s="70" t="s">
        <v>336</v>
      </c>
      <c r="K26" s="70">
        <v>39518.400000000001</v>
      </c>
      <c r="L26" s="70">
        <v>9879.6</v>
      </c>
      <c r="M26" s="70">
        <v>0</v>
      </c>
      <c r="N26" s="73">
        <v>49398</v>
      </c>
    </row>
    <row r="27" spans="1:14" ht="66.75" customHeight="1" x14ac:dyDescent="0.25">
      <c r="A27" s="1">
        <v>24</v>
      </c>
      <c r="B27" s="74" t="s">
        <v>340</v>
      </c>
      <c r="C27" s="75" t="s">
        <v>389</v>
      </c>
      <c r="D27" s="76" t="s">
        <v>631</v>
      </c>
      <c r="E27" s="76" t="s">
        <v>390</v>
      </c>
      <c r="F27" s="75" t="s">
        <v>60</v>
      </c>
      <c r="G27" s="75" t="s">
        <v>75</v>
      </c>
      <c r="H27" s="75" t="s">
        <v>81</v>
      </c>
      <c r="I27" s="77" t="s">
        <v>342</v>
      </c>
      <c r="J27" s="75" t="s">
        <v>336</v>
      </c>
      <c r="K27" s="75">
        <v>39518.400000000001</v>
      </c>
      <c r="L27" s="75">
        <v>9879.6</v>
      </c>
      <c r="M27" s="75">
        <v>0</v>
      </c>
      <c r="N27" s="78">
        <v>49398</v>
      </c>
    </row>
    <row r="28" spans="1:14" ht="66.75" customHeight="1" x14ac:dyDescent="0.25">
      <c r="A28" s="1">
        <v>25</v>
      </c>
      <c r="B28" s="69" t="s">
        <v>341</v>
      </c>
      <c r="C28" s="70" t="s">
        <v>391</v>
      </c>
      <c r="D28" s="71" t="s">
        <v>632</v>
      </c>
      <c r="E28" s="71" t="s">
        <v>392</v>
      </c>
      <c r="F28" s="70" t="s">
        <v>60</v>
      </c>
      <c r="G28" s="70" t="s">
        <v>75</v>
      </c>
      <c r="H28" s="70" t="s">
        <v>81</v>
      </c>
      <c r="I28" s="72" t="s">
        <v>342</v>
      </c>
      <c r="J28" s="70" t="s">
        <v>336</v>
      </c>
      <c r="K28" s="70">
        <v>39518.400000000001</v>
      </c>
      <c r="L28" s="70">
        <v>9879.6</v>
      </c>
      <c r="M28" s="70">
        <v>0</v>
      </c>
      <c r="N28" s="73">
        <v>49398</v>
      </c>
    </row>
    <row r="29" spans="1:14" ht="66.75" customHeight="1" x14ac:dyDescent="0.25">
      <c r="A29" s="1">
        <v>26</v>
      </c>
      <c r="B29" s="74" t="s">
        <v>334</v>
      </c>
      <c r="C29" s="75" t="s">
        <v>393</v>
      </c>
      <c r="D29" s="76" t="s">
        <v>633</v>
      </c>
      <c r="E29" s="76" t="s">
        <v>394</v>
      </c>
      <c r="F29" s="75" t="s">
        <v>60</v>
      </c>
      <c r="G29" s="75" t="s">
        <v>75</v>
      </c>
      <c r="H29" s="75" t="s">
        <v>81</v>
      </c>
      <c r="I29" s="77" t="s">
        <v>335</v>
      </c>
      <c r="J29" s="75" t="s">
        <v>336</v>
      </c>
      <c r="K29" s="75">
        <v>57736.7</v>
      </c>
      <c r="L29" s="75">
        <v>24744.3</v>
      </c>
      <c r="M29" s="75">
        <v>0</v>
      </c>
      <c r="N29" s="78">
        <v>82481</v>
      </c>
    </row>
    <row r="30" spans="1:14" ht="66.75" customHeight="1" x14ac:dyDescent="0.25">
      <c r="A30" s="1">
        <v>27</v>
      </c>
      <c r="B30" s="69" t="s">
        <v>334</v>
      </c>
      <c r="C30" s="70" t="s">
        <v>395</v>
      </c>
      <c r="D30" s="71" t="s">
        <v>633</v>
      </c>
      <c r="E30" s="71" t="s">
        <v>396</v>
      </c>
      <c r="F30" s="70" t="s">
        <v>60</v>
      </c>
      <c r="G30" s="70" t="s">
        <v>75</v>
      </c>
      <c r="H30" s="70" t="s">
        <v>81</v>
      </c>
      <c r="I30" s="72" t="s">
        <v>335</v>
      </c>
      <c r="J30" s="70" t="s">
        <v>336</v>
      </c>
      <c r="K30" s="70">
        <v>39284.699999999997</v>
      </c>
      <c r="L30" s="70">
        <v>16836.3</v>
      </c>
      <c r="M30" s="70">
        <v>0</v>
      </c>
      <c r="N30" s="73">
        <v>56121</v>
      </c>
    </row>
    <row r="31" spans="1:14" ht="66.75" customHeight="1" x14ac:dyDescent="0.25">
      <c r="A31" s="1">
        <v>28</v>
      </c>
      <c r="B31" s="74" t="s">
        <v>337</v>
      </c>
      <c r="C31" s="75" t="s">
        <v>397</v>
      </c>
      <c r="D31" s="76" t="s">
        <v>634</v>
      </c>
      <c r="E31" s="76" t="s">
        <v>398</v>
      </c>
      <c r="F31" s="75" t="s">
        <v>60</v>
      </c>
      <c r="G31" s="75" t="s">
        <v>75</v>
      </c>
      <c r="H31" s="75" t="s">
        <v>81</v>
      </c>
      <c r="I31" s="77" t="s">
        <v>335</v>
      </c>
      <c r="J31" s="75" t="s">
        <v>336</v>
      </c>
      <c r="K31" s="75">
        <v>39795</v>
      </c>
      <c r="L31" s="75">
        <v>17055</v>
      </c>
      <c r="M31" s="75">
        <v>0</v>
      </c>
      <c r="N31" s="78">
        <v>56850</v>
      </c>
    </row>
    <row r="32" spans="1:14" ht="66.75" customHeight="1" x14ac:dyDescent="0.25">
      <c r="A32" s="1">
        <v>29</v>
      </c>
      <c r="B32" s="69" t="s">
        <v>339</v>
      </c>
      <c r="C32" s="70" t="s">
        <v>399</v>
      </c>
      <c r="D32" s="71" t="s">
        <v>635</v>
      </c>
      <c r="E32" s="71" t="s">
        <v>400</v>
      </c>
      <c r="F32" s="70" t="s">
        <v>60</v>
      </c>
      <c r="G32" s="70" t="s">
        <v>75</v>
      </c>
      <c r="H32" s="70" t="s">
        <v>401</v>
      </c>
      <c r="I32" s="72" t="s">
        <v>342</v>
      </c>
      <c r="J32" s="70" t="s">
        <v>336</v>
      </c>
      <c r="K32" s="70">
        <v>39518.400000000001</v>
      </c>
      <c r="L32" s="70">
        <v>9879.6</v>
      </c>
      <c r="M32" s="70">
        <v>0</v>
      </c>
      <c r="N32" s="73">
        <v>49398</v>
      </c>
    </row>
    <row r="33" spans="1:14" ht="66.75" customHeight="1" x14ac:dyDescent="0.25">
      <c r="A33" s="1">
        <v>30</v>
      </c>
      <c r="B33" s="74" t="s">
        <v>337</v>
      </c>
      <c r="C33" s="75" t="s">
        <v>402</v>
      </c>
      <c r="D33" s="76" t="s">
        <v>636</v>
      </c>
      <c r="E33" s="76" t="s">
        <v>403</v>
      </c>
      <c r="F33" s="75" t="s">
        <v>60</v>
      </c>
      <c r="G33" s="75" t="s">
        <v>100</v>
      </c>
      <c r="H33" s="75" t="s">
        <v>153</v>
      </c>
      <c r="I33" s="77" t="s">
        <v>335</v>
      </c>
      <c r="J33" s="75" t="s">
        <v>336</v>
      </c>
      <c r="K33" s="75">
        <v>31738</v>
      </c>
      <c r="L33" s="75">
        <v>13602</v>
      </c>
      <c r="M33" s="75">
        <v>0</v>
      </c>
      <c r="N33" s="78">
        <v>45340</v>
      </c>
    </row>
    <row r="34" spans="1:14" ht="66.75" customHeight="1" x14ac:dyDescent="0.25">
      <c r="A34" s="1">
        <v>31</v>
      </c>
      <c r="B34" s="69" t="s">
        <v>337</v>
      </c>
      <c r="C34" s="70" t="s">
        <v>404</v>
      </c>
      <c r="D34" s="71" t="s">
        <v>637</v>
      </c>
      <c r="E34" s="71" t="s">
        <v>405</v>
      </c>
      <c r="F34" s="70" t="s">
        <v>60</v>
      </c>
      <c r="G34" s="70" t="s">
        <v>100</v>
      </c>
      <c r="H34" s="70" t="s">
        <v>153</v>
      </c>
      <c r="I34" s="72" t="s">
        <v>335</v>
      </c>
      <c r="J34" s="70" t="s">
        <v>336</v>
      </c>
      <c r="K34" s="70">
        <v>19670</v>
      </c>
      <c r="L34" s="70">
        <v>8430</v>
      </c>
      <c r="M34" s="70">
        <v>0</v>
      </c>
      <c r="N34" s="73">
        <v>28100</v>
      </c>
    </row>
    <row r="35" spans="1:14" ht="66.75" customHeight="1" x14ac:dyDescent="0.25">
      <c r="A35" s="1">
        <v>32</v>
      </c>
      <c r="B35" s="74" t="s">
        <v>339</v>
      </c>
      <c r="C35" s="75" t="s">
        <v>406</v>
      </c>
      <c r="D35" s="76" t="s">
        <v>638</v>
      </c>
      <c r="E35" s="76" t="s">
        <v>407</v>
      </c>
      <c r="F35" s="75" t="s">
        <v>60</v>
      </c>
      <c r="G35" s="75" t="s">
        <v>100</v>
      </c>
      <c r="H35" s="75" t="s">
        <v>153</v>
      </c>
      <c r="I35" s="77" t="s">
        <v>335</v>
      </c>
      <c r="J35" s="75" t="s">
        <v>336</v>
      </c>
      <c r="K35" s="75">
        <v>23100</v>
      </c>
      <c r="L35" s="75">
        <v>9900</v>
      </c>
      <c r="M35" s="75">
        <v>0</v>
      </c>
      <c r="N35" s="78">
        <v>33000</v>
      </c>
    </row>
    <row r="36" spans="1:14" ht="66.75" customHeight="1" x14ac:dyDescent="0.25">
      <c r="A36" s="1">
        <v>33</v>
      </c>
      <c r="B36" s="69" t="s">
        <v>339</v>
      </c>
      <c r="C36" s="70" t="s">
        <v>408</v>
      </c>
      <c r="D36" s="71" t="s">
        <v>639</v>
      </c>
      <c r="E36" s="71" t="s">
        <v>409</v>
      </c>
      <c r="F36" s="70" t="s">
        <v>60</v>
      </c>
      <c r="G36" s="70" t="s">
        <v>100</v>
      </c>
      <c r="H36" s="70" t="s">
        <v>153</v>
      </c>
      <c r="I36" s="72" t="s">
        <v>335</v>
      </c>
      <c r="J36" s="70" t="s">
        <v>336</v>
      </c>
      <c r="K36" s="70">
        <v>41072.5</v>
      </c>
      <c r="L36" s="70">
        <v>17602.5</v>
      </c>
      <c r="M36" s="70">
        <v>0</v>
      </c>
      <c r="N36" s="73">
        <v>58675</v>
      </c>
    </row>
    <row r="37" spans="1:14" ht="66.75" customHeight="1" x14ac:dyDescent="0.25">
      <c r="A37" s="1">
        <v>34</v>
      </c>
      <c r="B37" s="74" t="s">
        <v>337</v>
      </c>
      <c r="C37" s="75" t="s">
        <v>410</v>
      </c>
      <c r="D37" s="76" t="s">
        <v>640</v>
      </c>
      <c r="E37" s="76" t="s">
        <v>411</v>
      </c>
      <c r="F37" s="75" t="s">
        <v>60</v>
      </c>
      <c r="G37" s="75" t="s">
        <v>100</v>
      </c>
      <c r="H37" s="75" t="s">
        <v>115</v>
      </c>
      <c r="I37" s="77" t="s">
        <v>342</v>
      </c>
      <c r="J37" s="75" t="s">
        <v>336</v>
      </c>
      <c r="K37" s="75">
        <v>33650</v>
      </c>
      <c r="L37" s="75">
        <v>8413</v>
      </c>
      <c r="M37" s="75">
        <v>0</v>
      </c>
      <c r="N37" s="78">
        <v>42063</v>
      </c>
    </row>
    <row r="38" spans="1:14" ht="66.75" customHeight="1" x14ac:dyDescent="0.25">
      <c r="A38" s="1">
        <v>35</v>
      </c>
      <c r="B38" s="69" t="s">
        <v>337</v>
      </c>
      <c r="C38" s="70" t="s">
        <v>412</v>
      </c>
      <c r="D38" s="71" t="s">
        <v>641</v>
      </c>
      <c r="E38" s="71" t="s">
        <v>413</v>
      </c>
      <c r="F38" s="70" t="s">
        <v>60</v>
      </c>
      <c r="G38" s="70" t="s">
        <v>100</v>
      </c>
      <c r="H38" s="70" t="s">
        <v>115</v>
      </c>
      <c r="I38" s="72" t="s">
        <v>342</v>
      </c>
      <c r="J38" s="70" t="s">
        <v>336</v>
      </c>
      <c r="K38" s="70">
        <v>33650</v>
      </c>
      <c r="L38" s="70">
        <v>8413</v>
      </c>
      <c r="M38" s="70">
        <v>0</v>
      </c>
      <c r="N38" s="73">
        <v>42063</v>
      </c>
    </row>
    <row r="39" spans="1:14" ht="66.75" customHeight="1" x14ac:dyDescent="0.25">
      <c r="A39" s="1">
        <v>36</v>
      </c>
      <c r="B39" s="74" t="s">
        <v>337</v>
      </c>
      <c r="C39" s="75" t="s">
        <v>414</v>
      </c>
      <c r="D39" s="76" t="s">
        <v>642</v>
      </c>
      <c r="E39" s="76" t="s">
        <v>415</v>
      </c>
      <c r="F39" s="75" t="s">
        <v>60</v>
      </c>
      <c r="G39" s="75" t="s">
        <v>100</v>
      </c>
      <c r="H39" s="75" t="s">
        <v>115</v>
      </c>
      <c r="I39" s="77" t="s">
        <v>342</v>
      </c>
      <c r="J39" s="75" t="s">
        <v>336</v>
      </c>
      <c r="K39" s="75">
        <v>33650</v>
      </c>
      <c r="L39" s="75">
        <v>8413</v>
      </c>
      <c r="M39" s="75">
        <v>0</v>
      </c>
      <c r="N39" s="78">
        <v>42063</v>
      </c>
    </row>
    <row r="40" spans="1:14" ht="66.75" customHeight="1" x14ac:dyDescent="0.25">
      <c r="A40" s="1">
        <v>37</v>
      </c>
      <c r="B40" s="69" t="s">
        <v>339</v>
      </c>
      <c r="C40" s="70" t="s">
        <v>416</v>
      </c>
      <c r="D40" s="71" t="s">
        <v>643</v>
      </c>
      <c r="E40" s="71" t="s">
        <v>417</v>
      </c>
      <c r="F40" s="70" t="s">
        <v>60</v>
      </c>
      <c r="G40" s="70" t="s">
        <v>100</v>
      </c>
      <c r="H40" s="70" t="s">
        <v>115</v>
      </c>
      <c r="I40" s="72" t="s">
        <v>342</v>
      </c>
      <c r="J40" s="70" t="s">
        <v>336</v>
      </c>
      <c r="K40" s="70">
        <v>39518.400000000001</v>
      </c>
      <c r="L40" s="70">
        <v>9879.6</v>
      </c>
      <c r="M40" s="70">
        <v>0</v>
      </c>
      <c r="N40" s="73">
        <v>49398</v>
      </c>
    </row>
    <row r="41" spans="1:14" ht="66.75" customHeight="1" x14ac:dyDescent="0.25">
      <c r="A41" s="1">
        <v>38</v>
      </c>
      <c r="B41" s="74" t="s">
        <v>339</v>
      </c>
      <c r="C41" s="75" t="s">
        <v>418</v>
      </c>
      <c r="D41" s="76" t="s">
        <v>644</v>
      </c>
      <c r="E41" s="76" t="s">
        <v>419</v>
      </c>
      <c r="F41" s="75" t="s">
        <v>60</v>
      </c>
      <c r="G41" s="75" t="s">
        <v>100</v>
      </c>
      <c r="H41" s="75" t="s">
        <v>115</v>
      </c>
      <c r="I41" s="77" t="s">
        <v>342</v>
      </c>
      <c r="J41" s="75" t="s">
        <v>336</v>
      </c>
      <c r="K41" s="75">
        <v>39518.400000000001</v>
      </c>
      <c r="L41" s="75">
        <v>9879.6</v>
      </c>
      <c r="M41" s="75">
        <v>0</v>
      </c>
      <c r="N41" s="78">
        <v>49398</v>
      </c>
    </row>
    <row r="42" spans="1:14" ht="66.75" customHeight="1" x14ac:dyDescent="0.25">
      <c r="A42" s="1">
        <v>39</v>
      </c>
      <c r="B42" s="69" t="s">
        <v>339</v>
      </c>
      <c r="C42" s="70" t="s">
        <v>420</v>
      </c>
      <c r="D42" s="71" t="s">
        <v>645</v>
      </c>
      <c r="E42" s="71" t="s">
        <v>421</v>
      </c>
      <c r="F42" s="70" t="s">
        <v>60</v>
      </c>
      <c r="G42" s="70" t="s">
        <v>100</v>
      </c>
      <c r="H42" s="70" t="s">
        <v>115</v>
      </c>
      <c r="I42" s="72" t="s">
        <v>342</v>
      </c>
      <c r="J42" s="70" t="s">
        <v>336</v>
      </c>
      <c r="K42" s="70">
        <v>39518.400000000001</v>
      </c>
      <c r="L42" s="70">
        <v>9879.6</v>
      </c>
      <c r="M42" s="70">
        <v>0</v>
      </c>
      <c r="N42" s="73">
        <v>49398</v>
      </c>
    </row>
    <row r="43" spans="1:14" ht="66.75" customHeight="1" x14ac:dyDescent="0.25">
      <c r="A43" s="1">
        <v>40</v>
      </c>
      <c r="B43" s="74" t="s">
        <v>339</v>
      </c>
      <c r="C43" s="75" t="s">
        <v>422</v>
      </c>
      <c r="D43" s="76" t="s">
        <v>646</v>
      </c>
      <c r="E43" s="76" t="s">
        <v>423</v>
      </c>
      <c r="F43" s="75" t="s">
        <v>60</v>
      </c>
      <c r="G43" s="75" t="s">
        <v>100</v>
      </c>
      <c r="H43" s="75" t="s">
        <v>115</v>
      </c>
      <c r="I43" s="77" t="s">
        <v>342</v>
      </c>
      <c r="J43" s="75" t="s">
        <v>336</v>
      </c>
      <c r="K43" s="75">
        <v>39518.400000000001</v>
      </c>
      <c r="L43" s="75">
        <v>9879.6</v>
      </c>
      <c r="M43" s="75">
        <v>0</v>
      </c>
      <c r="N43" s="78">
        <v>49398</v>
      </c>
    </row>
    <row r="44" spans="1:14" ht="66.75" customHeight="1" x14ac:dyDescent="0.25">
      <c r="A44" s="1">
        <v>41</v>
      </c>
      <c r="B44" s="69" t="s">
        <v>339</v>
      </c>
      <c r="C44" s="70" t="s">
        <v>424</v>
      </c>
      <c r="D44" s="71" t="s">
        <v>647</v>
      </c>
      <c r="E44" s="71" t="s">
        <v>425</v>
      </c>
      <c r="F44" s="70" t="s">
        <v>60</v>
      </c>
      <c r="G44" s="70" t="s">
        <v>100</v>
      </c>
      <c r="H44" s="70" t="s">
        <v>115</v>
      </c>
      <c r="I44" s="72" t="s">
        <v>342</v>
      </c>
      <c r="J44" s="70" t="s">
        <v>336</v>
      </c>
      <c r="K44" s="70">
        <v>39518.400000000001</v>
      </c>
      <c r="L44" s="70">
        <v>9879.6</v>
      </c>
      <c r="M44" s="70">
        <v>0</v>
      </c>
      <c r="N44" s="73">
        <v>49398</v>
      </c>
    </row>
    <row r="45" spans="1:14" ht="66.75" customHeight="1" x14ac:dyDescent="0.25">
      <c r="A45" s="1">
        <v>42</v>
      </c>
      <c r="B45" s="74" t="s">
        <v>340</v>
      </c>
      <c r="C45" s="75" t="s">
        <v>426</v>
      </c>
      <c r="D45" s="76" t="s">
        <v>648</v>
      </c>
      <c r="E45" s="76" t="s">
        <v>427</v>
      </c>
      <c r="F45" s="75" t="s">
        <v>60</v>
      </c>
      <c r="G45" s="75" t="s">
        <v>100</v>
      </c>
      <c r="H45" s="75" t="s">
        <v>115</v>
      </c>
      <c r="I45" s="77" t="s">
        <v>342</v>
      </c>
      <c r="J45" s="75" t="s">
        <v>336</v>
      </c>
      <c r="K45" s="75">
        <v>39518.400000000001</v>
      </c>
      <c r="L45" s="75">
        <v>9879.6</v>
      </c>
      <c r="M45" s="75">
        <v>0</v>
      </c>
      <c r="N45" s="78">
        <v>49398</v>
      </c>
    </row>
    <row r="46" spans="1:14" ht="66.75" customHeight="1" x14ac:dyDescent="0.25">
      <c r="A46" s="1">
        <v>43</v>
      </c>
      <c r="B46" s="69" t="s">
        <v>340</v>
      </c>
      <c r="C46" s="70" t="s">
        <v>428</v>
      </c>
      <c r="D46" s="71" t="s">
        <v>649</v>
      </c>
      <c r="E46" s="71" t="s">
        <v>429</v>
      </c>
      <c r="F46" s="70" t="s">
        <v>60</v>
      </c>
      <c r="G46" s="70" t="s">
        <v>100</v>
      </c>
      <c r="H46" s="70" t="s">
        <v>115</v>
      </c>
      <c r="I46" s="72" t="s">
        <v>342</v>
      </c>
      <c r="J46" s="70" t="s">
        <v>336</v>
      </c>
      <c r="K46" s="70">
        <v>39518.400000000001</v>
      </c>
      <c r="L46" s="70">
        <v>9879.6</v>
      </c>
      <c r="M46" s="70">
        <v>0</v>
      </c>
      <c r="N46" s="73">
        <v>49398</v>
      </c>
    </row>
    <row r="47" spans="1:14" ht="66.75" customHeight="1" x14ac:dyDescent="0.25">
      <c r="A47" s="1">
        <v>44</v>
      </c>
      <c r="B47" s="74" t="s">
        <v>340</v>
      </c>
      <c r="C47" s="75" t="s">
        <v>430</v>
      </c>
      <c r="D47" s="76" t="s">
        <v>650</v>
      </c>
      <c r="E47" s="76" t="s">
        <v>431</v>
      </c>
      <c r="F47" s="75" t="s">
        <v>60</v>
      </c>
      <c r="G47" s="75" t="s">
        <v>100</v>
      </c>
      <c r="H47" s="75" t="s">
        <v>115</v>
      </c>
      <c r="I47" s="77" t="s">
        <v>342</v>
      </c>
      <c r="J47" s="75" t="s">
        <v>336</v>
      </c>
      <c r="K47" s="75">
        <v>39518.400000000001</v>
      </c>
      <c r="L47" s="75">
        <v>9879.6</v>
      </c>
      <c r="M47" s="75">
        <v>0</v>
      </c>
      <c r="N47" s="78">
        <v>49398</v>
      </c>
    </row>
    <row r="48" spans="1:14" ht="66.75" customHeight="1" x14ac:dyDescent="0.25">
      <c r="A48" s="1">
        <v>45</v>
      </c>
      <c r="B48" s="69" t="s">
        <v>340</v>
      </c>
      <c r="C48" s="70" t="s">
        <v>432</v>
      </c>
      <c r="D48" s="71" t="s">
        <v>651</v>
      </c>
      <c r="E48" s="71" t="s">
        <v>433</v>
      </c>
      <c r="F48" s="70" t="s">
        <v>60</v>
      </c>
      <c r="G48" s="70" t="s">
        <v>100</v>
      </c>
      <c r="H48" s="70" t="s">
        <v>115</v>
      </c>
      <c r="I48" s="72" t="s">
        <v>342</v>
      </c>
      <c r="J48" s="70" t="s">
        <v>336</v>
      </c>
      <c r="K48" s="70">
        <v>39518.400000000001</v>
      </c>
      <c r="L48" s="70">
        <v>9879.6</v>
      </c>
      <c r="M48" s="70">
        <v>0</v>
      </c>
      <c r="N48" s="73">
        <v>49398</v>
      </c>
    </row>
    <row r="49" spans="1:14" ht="66.75" customHeight="1" x14ac:dyDescent="0.25">
      <c r="A49" s="1">
        <v>46</v>
      </c>
      <c r="B49" s="74" t="s">
        <v>340</v>
      </c>
      <c r="C49" s="75" t="s">
        <v>434</v>
      </c>
      <c r="D49" s="76" t="s">
        <v>652</v>
      </c>
      <c r="E49" s="76" t="s">
        <v>435</v>
      </c>
      <c r="F49" s="75" t="s">
        <v>60</v>
      </c>
      <c r="G49" s="75" t="s">
        <v>100</v>
      </c>
      <c r="H49" s="75" t="s">
        <v>115</v>
      </c>
      <c r="I49" s="77" t="s">
        <v>342</v>
      </c>
      <c r="J49" s="75" t="s">
        <v>336</v>
      </c>
      <c r="K49" s="75">
        <v>39518.400000000001</v>
      </c>
      <c r="L49" s="75">
        <v>9879.6</v>
      </c>
      <c r="M49" s="75">
        <v>0</v>
      </c>
      <c r="N49" s="78">
        <v>49398</v>
      </c>
    </row>
    <row r="50" spans="1:14" ht="66.75" customHeight="1" x14ac:dyDescent="0.25">
      <c r="A50" s="1">
        <v>47</v>
      </c>
      <c r="B50" s="69" t="s">
        <v>340</v>
      </c>
      <c r="C50" s="70" t="s">
        <v>436</v>
      </c>
      <c r="D50" s="71" t="s">
        <v>653</v>
      </c>
      <c r="E50" s="71" t="s">
        <v>437</v>
      </c>
      <c r="F50" s="70" t="s">
        <v>60</v>
      </c>
      <c r="G50" s="70" t="s">
        <v>100</v>
      </c>
      <c r="H50" s="70" t="s">
        <v>115</v>
      </c>
      <c r="I50" s="72" t="s">
        <v>342</v>
      </c>
      <c r="J50" s="70" t="s">
        <v>336</v>
      </c>
      <c r="K50" s="70">
        <v>39518.400000000001</v>
      </c>
      <c r="L50" s="70">
        <v>9879.6</v>
      </c>
      <c r="M50" s="70">
        <v>0</v>
      </c>
      <c r="N50" s="73">
        <v>49398</v>
      </c>
    </row>
    <row r="51" spans="1:14" ht="66.75" customHeight="1" x14ac:dyDescent="0.25">
      <c r="A51" s="1">
        <v>48</v>
      </c>
      <c r="B51" s="74" t="s">
        <v>340</v>
      </c>
      <c r="C51" s="75" t="s">
        <v>438</v>
      </c>
      <c r="D51" s="76" t="s">
        <v>654</v>
      </c>
      <c r="E51" s="76" t="s">
        <v>439</v>
      </c>
      <c r="F51" s="75" t="s">
        <v>60</v>
      </c>
      <c r="G51" s="75" t="s">
        <v>100</v>
      </c>
      <c r="H51" s="75" t="s">
        <v>115</v>
      </c>
      <c r="I51" s="77" t="s">
        <v>342</v>
      </c>
      <c r="J51" s="75" t="s">
        <v>336</v>
      </c>
      <c r="K51" s="75">
        <v>39518.400000000001</v>
      </c>
      <c r="L51" s="75">
        <v>9879.6</v>
      </c>
      <c r="M51" s="75">
        <v>0</v>
      </c>
      <c r="N51" s="78">
        <v>49398</v>
      </c>
    </row>
    <row r="52" spans="1:14" ht="66.75" customHeight="1" x14ac:dyDescent="0.25">
      <c r="A52" s="1">
        <v>49</v>
      </c>
      <c r="B52" s="69" t="s">
        <v>340</v>
      </c>
      <c r="C52" s="70" t="s">
        <v>440</v>
      </c>
      <c r="D52" s="71" t="s">
        <v>655</v>
      </c>
      <c r="E52" s="71" t="s">
        <v>441</v>
      </c>
      <c r="F52" s="70" t="s">
        <v>60</v>
      </c>
      <c r="G52" s="70" t="s">
        <v>100</v>
      </c>
      <c r="H52" s="70" t="s">
        <v>115</v>
      </c>
      <c r="I52" s="72" t="s">
        <v>342</v>
      </c>
      <c r="J52" s="70" t="s">
        <v>336</v>
      </c>
      <c r="K52" s="70">
        <v>39518.400000000001</v>
      </c>
      <c r="L52" s="70">
        <v>9879.6</v>
      </c>
      <c r="M52" s="70">
        <v>0</v>
      </c>
      <c r="N52" s="73">
        <v>49398</v>
      </c>
    </row>
    <row r="53" spans="1:14" ht="66.75" customHeight="1" x14ac:dyDescent="0.25">
      <c r="A53" s="1">
        <v>50</v>
      </c>
      <c r="B53" s="74" t="s">
        <v>340</v>
      </c>
      <c r="C53" s="75" t="s">
        <v>442</v>
      </c>
      <c r="D53" s="76" t="s">
        <v>656</v>
      </c>
      <c r="E53" s="76" t="s">
        <v>443</v>
      </c>
      <c r="F53" s="75" t="s">
        <v>60</v>
      </c>
      <c r="G53" s="75" t="s">
        <v>100</v>
      </c>
      <c r="H53" s="75" t="s">
        <v>115</v>
      </c>
      <c r="I53" s="77" t="s">
        <v>342</v>
      </c>
      <c r="J53" s="75" t="s">
        <v>336</v>
      </c>
      <c r="K53" s="75">
        <v>39518.400000000001</v>
      </c>
      <c r="L53" s="75">
        <v>9879.6</v>
      </c>
      <c r="M53" s="75">
        <v>0</v>
      </c>
      <c r="N53" s="78">
        <v>49398</v>
      </c>
    </row>
    <row r="54" spans="1:14" ht="66.75" customHeight="1" x14ac:dyDescent="0.25">
      <c r="A54" s="1">
        <v>51</v>
      </c>
      <c r="B54" s="69" t="s">
        <v>341</v>
      </c>
      <c r="C54" s="70" t="s">
        <v>444</v>
      </c>
      <c r="D54" s="71" t="s">
        <v>657</v>
      </c>
      <c r="E54" s="71" t="s">
        <v>445</v>
      </c>
      <c r="F54" s="70" t="s">
        <v>60</v>
      </c>
      <c r="G54" s="70" t="s">
        <v>100</v>
      </c>
      <c r="H54" s="70" t="s">
        <v>115</v>
      </c>
      <c r="I54" s="72" t="s">
        <v>342</v>
      </c>
      <c r="J54" s="70" t="s">
        <v>336</v>
      </c>
      <c r="K54" s="70">
        <v>39518.400000000001</v>
      </c>
      <c r="L54" s="70">
        <v>9879.6</v>
      </c>
      <c r="M54" s="70">
        <v>0</v>
      </c>
      <c r="N54" s="73">
        <v>49398</v>
      </c>
    </row>
    <row r="55" spans="1:14" ht="66.75" customHeight="1" x14ac:dyDescent="0.25">
      <c r="A55" s="1">
        <v>52</v>
      </c>
      <c r="B55" s="74" t="s">
        <v>341</v>
      </c>
      <c r="C55" s="75" t="s">
        <v>446</v>
      </c>
      <c r="D55" s="76" t="s">
        <v>658</v>
      </c>
      <c r="E55" s="76" t="s">
        <v>447</v>
      </c>
      <c r="F55" s="75" t="s">
        <v>60</v>
      </c>
      <c r="G55" s="75" t="s">
        <v>100</v>
      </c>
      <c r="H55" s="75" t="s">
        <v>115</v>
      </c>
      <c r="I55" s="77" t="s">
        <v>342</v>
      </c>
      <c r="J55" s="75" t="s">
        <v>336</v>
      </c>
      <c r="K55" s="75">
        <v>39518.400000000001</v>
      </c>
      <c r="L55" s="75">
        <v>9879.6</v>
      </c>
      <c r="M55" s="75">
        <v>0</v>
      </c>
      <c r="N55" s="78">
        <v>49398</v>
      </c>
    </row>
    <row r="56" spans="1:14" ht="66.75" customHeight="1" x14ac:dyDescent="0.25">
      <c r="A56" s="1">
        <v>53</v>
      </c>
      <c r="B56" s="69" t="s">
        <v>341</v>
      </c>
      <c r="C56" s="70" t="s">
        <v>448</v>
      </c>
      <c r="D56" s="71" t="s">
        <v>659</v>
      </c>
      <c r="E56" s="71" t="s">
        <v>449</v>
      </c>
      <c r="F56" s="70" t="s">
        <v>60</v>
      </c>
      <c r="G56" s="70" t="s">
        <v>100</v>
      </c>
      <c r="H56" s="70" t="s">
        <v>115</v>
      </c>
      <c r="I56" s="72" t="s">
        <v>342</v>
      </c>
      <c r="J56" s="70" t="s">
        <v>336</v>
      </c>
      <c r="K56" s="70">
        <v>39518.400000000001</v>
      </c>
      <c r="L56" s="70">
        <v>9879.6</v>
      </c>
      <c r="M56" s="70">
        <v>0</v>
      </c>
      <c r="N56" s="73">
        <v>49398</v>
      </c>
    </row>
    <row r="57" spans="1:14" ht="66.75" customHeight="1" x14ac:dyDescent="0.25">
      <c r="A57" s="1">
        <v>54</v>
      </c>
      <c r="B57" s="74" t="s">
        <v>334</v>
      </c>
      <c r="C57" s="75" t="s">
        <v>450</v>
      </c>
      <c r="D57" s="76" t="s">
        <v>660</v>
      </c>
      <c r="E57" s="76" t="s">
        <v>451</v>
      </c>
      <c r="F57" s="75" t="s">
        <v>60</v>
      </c>
      <c r="G57" s="75" t="s">
        <v>100</v>
      </c>
      <c r="H57" s="75" t="s">
        <v>115</v>
      </c>
      <c r="I57" s="77" t="s">
        <v>335</v>
      </c>
      <c r="J57" s="75" t="s">
        <v>336</v>
      </c>
      <c r="K57" s="75">
        <v>19670</v>
      </c>
      <c r="L57" s="75">
        <v>8430</v>
      </c>
      <c r="M57" s="75">
        <v>0</v>
      </c>
      <c r="N57" s="78">
        <v>28100</v>
      </c>
    </row>
    <row r="58" spans="1:14" ht="66.75" customHeight="1" x14ac:dyDescent="0.25">
      <c r="A58" s="1">
        <v>55</v>
      </c>
      <c r="B58" s="69" t="s">
        <v>337</v>
      </c>
      <c r="C58" s="70" t="s">
        <v>452</v>
      </c>
      <c r="D58" s="71" t="s">
        <v>661</v>
      </c>
      <c r="E58" s="71" t="s">
        <v>453</v>
      </c>
      <c r="F58" s="70" t="s">
        <v>60</v>
      </c>
      <c r="G58" s="70" t="s">
        <v>100</v>
      </c>
      <c r="H58" s="70" t="s">
        <v>115</v>
      </c>
      <c r="I58" s="72" t="s">
        <v>335</v>
      </c>
      <c r="J58" s="70" t="s">
        <v>336</v>
      </c>
      <c r="K58" s="70">
        <v>19670</v>
      </c>
      <c r="L58" s="70">
        <v>8430</v>
      </c>
      <c r="M58" s="70">
        <v>0</v>
      </c>
      <c r="N58" s="73">
        <v>28100</v>
      </c>
    </row>
    <row r="59" spans="1:14" ht="66.75" customHeight="1" x14ac:dyDescent="0.25">
      <c r="A59" s="1">
        <v>56</v>
      </c>
      <c r="B59" s="74" t="s">
        <v>340</v>
      </c>
      <c r="C59" s="75" t="s">
        <v>454</v>
      </c>
      <c r="D59" s="76" t="s">
        <v>662</v>
      </c>
      <c r="E59" s="76" t="s">
        <v>455</v>
      </c>
      <c r="F59" s="75" t="s">
        <v>60</v>
      </c>
      <c r="G59" s="75" t="s">
        <v>100</v>
      </c>
      <c r="H59" s="75" t="s">
        <v>115</v>
      </c>
      <c r="I59" s="77" t="s">
        <v>335</v>
      </c>
      <c r="J59" s="75" t="s">
        <v>336</v>
      </c>
      <c r="K59" s="75">
        <v>29635.200000000001</v>
      </c>
      <c r="L59" s="75">
        <v>12700.8</v>
      </c>
      <c r="M59" s="75">
        <v>0</v>
      </c>
      <c r="N59" s="78">
        <v>42336</v>
      </c>
    </row>
    <row r="60" spans="1:14" ht="66.75" customHeight="1" x14ac:dyDescent="0.25">
      <c r="A60" s="1">
        <v>57</v>
      </c>
      <c r="B60" s="69" t="s">
        <v>340</v>
      </c>
      <c r="C60" s="70" t="s">
        <v>456</v>
      </c>
      <c r="D60" s="71" t="s">
        <v>663</v>
      </c>
      <c r="E60" s="71" t="s">
        <v>457</v>
      </c>
      <c r="F60" s="70" t="s">
        <v>60</v>
      </c>
      <c r="G60" s="70" t="s">
        <v>100</v>
      </c>
      <c r="H60" s="70" t="s">
        <v>115</v>
      </c>
      <c r="I60" s="72" t="s">
        <v>335</v>
      </c>
      <c r="J60" s="70" t="s">
        <v>336</v>
      </c>
      <c r="K60" s="70">
        <v>28863.8</v>
      </c>
      <c r="L60" s="70">
        <v>12370.2</v>
      </c>
      <c r="M60" s="70">
        <v>0</v>
      </c>
      <c r="N60" s="73">
        <v>41234</v>
      </c>
    </row>
    <row r="61" spans="1:14" ht="66.75" customHeight="1" x14ac:dyDescent="0.25">
      <c r="A61" s="1">
        <v>58</v>
      </c>
      <c r="B61" s="74" t="s">
        <v>341</v>
      </c>
      <c r="C61" s="75" t="s">
        <v>458</v>
      </c>
      <c r="D61" s="76" t="s">
        <v>664</v>
      </c>
      <c r="E61" s="76" t="s">
        <v>459</v>
      </c>
      <c r="F61" s="75" t="s">
        <v>60</v>
      </c>
      <c r="G61" s="75" t="s">
        <v>100</v>
      </c>
      <c r="H61" s="75" t="s">
        <v>115</v>
      </c>
      <c r="I61" s="77" t="s">
        <v>335</v>
      </c>
      <c r="J61" s="75" t="s">
        <v>336</v>
      </c>
      <c r="K61" s="75">
        <v>23100</v>
      </c>
      <c r="L61" s="75">
        <v>9900</v>
      </c>
      <c r="M61" s="75">
        <v>0</v>
      </c>
      <c r="N61" s="78">
        <v>33000</v>
      </c>
    </row>
    <row r="62" spans="1:14" ht="66.75" customHeight="1" x14ac:dyDescent="0.25">
      <c r="A62" s="1">
        <v>59</v>
      </c>
      <c r="B62" s="69" t="s">
        <v>334</v>
      </c>
      <c r="C62" s="70" t="s">
        <v>460</v>
      </c>
      <c r="D62" s="71" t="s">
        <v>665</v>
      </c>
      <c r="E62" s="71" t="s">
        <v>461</v>
      </c>
      <c r="F62" s="70" t="s">
        <v>60</v>
      </c>
      <c r="G62" s="70" t="s">
        <v>100</v>
      </c>
      <c r="H62" s="70" t="s">
        <v>462</v>
      </c>
      <c r="I62" s="72" t="s">
        <v>342</v>
      </c>
      <c r="J62" s="70" t="s">
        <v>336</v>
      </c>
      <c r="K62" s="70">
        <v>33664</v>
      </c>
      <c r="L62" s="70">
        <v>8416</v>
      </c>
      <c r="M62" s="70">
        <v>0</v>
      </c>
      <c r="N62" s="73">
        <v>42080</v>
      </c>
    </row>
    <row r="63" spans="1:14" ht="66.75" customHeight="1" x14ac:dyDescent="0.25">
      <c r="A63" s="1">
        <v>60</v>
      </c>
      <c r="B63" s="74" t="s">
        <v>334</v>
      </c>
      <c r="C63" s="75" t="s">
        <v>463</v>
      </c>
      <c r="D63" s="76" t="s">
        <v>666</v>
      </c>
      <c r="E63" s="76" t="s">
        <v>464</v>
      </c>
      <c r="F63" s="75" t="s">
        <v>60</v>
      </c>
      <c r="G63" s="75" t="s">
        <v>100</v>
      </c>
      <c r="H63" s="75" t="s">
        <v>462</v>
      </c>
      <c r="I63" s="77" t="s">
        <v>342</v>
      </c>
      <c r="J63" s="75" t="s">
        <v>336</v>
      </c>
      <c r="K63" s="75">
        <v>30517.94</v>
      </c>
      <c r="L63" s="75">
        <v>7629.49</v>
      </c>
      <c r="M63" s="75">
        <v>0</v>
      </c>
      <c r="N63" s="78">
        <v>38147.43</v>
      </c>
    </row>
    <row r="64" spans="1:14" ht="66.75" customHeight="1" x14ac:dyDescent="0.25">
      <c r="A64" s="1">
        <v>61</v>
      </c>
      <c r="B64" s="69" t="s">
        <v>334</v>
      </c>
      <c r="C64" s="70" t="s">
        <v>465</v>
      </c>
      <c r="D64" s="71" t="s">
        <v>667</v>
      </c>
      <c r="E64" s="71" t="s">
        <v>466</v>
      </c>
      <c r="F64" s="70" t="s">
        <v>60</v>
      </c>
      <c r="G64" s="70" t="s">
        <v>100</v>
      </c>
      <c r="H64" s="70" t="s">
        <v>462</v>
      </c>
      <c r="I64" s="72" t="s">
        <v>342</v>
      </c>
      <c r="J64" s="70" t="s">
        <v>336</v>
      </c>
      <c r="K64" s="70">
        <v>28008</v>
      </c>
      <c r="L64" s="70">
        <v>7002</v>
      </c>
      <c r="M64" s="70">
        <v>0</v>
      </c>
      <c r="N64" s="73">
        <v>35010</v>
      </c>
    </row>
    <row r="65" spans="1:14" ht="66.75" customHeight="1" x14ac:dyDescent="0.25">
      <c r="A65" s="1">
        <v>62</v>
      </c>
      <c r="B65" s="74" t="s">
        <v>340</v>
      </c>
      <c r="C65" s="75" t="s">
        <v>467</v>
      </c>
      <c r="D65" s="76" t="s">
        <v>668</v>
      </c>
      <c r="E65" s="76" t="s">
        <v>468</v>
      </c>
      <c r="F65" s="75" t="s">
        <v>60</v>
      </c>
      <c r="G65" s="75" t="s">
        <v>100</v>
      </c>
      <c r="H65" s="75" t="s">
        <v>462</v>
      </c>
      <c r="I65" s="77" t="s">
        <v>342</v>
      </c>
      <c r="J65" s="75" t="s">
        <v>336</v>
      </c>
      <c r="K65" s="75">
        <v>39518.400000000001</v>
      </c>
      <c r="L65" s="75">
        <v>9879.6</v>
      </c>
      <c r="M65" s="75">
        <v>0</v>
      </c>
      <c r="N65" s="78">
        <v>49398</v>
      </c>
    </row>
    <row r="66" spans="1:14" ht="66.75" customHeight="1" x14ac:dyDescent="0.25">
      <c r="A66" s="1">
        <v>63</v>
      </c>
      <c r="B66" s="69" t="s">
        <v>340</v>
      </c>
      <c r="C66" s="70" t="s">
        <v>469</v>
      </c>
      <c r="D66" s="71" t="s">
        <v>669</v>
      </c>
      <c r="E66" s="71" t="s">
        <v>470</v>
      </c>
      <c r="F66" s="70" t="s">
        <v>60</v>
      </c>
      <c r="G66" s="70" t="s">
        <v>100</v>
      </c>
      <c r="H66" s="70" t="s">
        <v>462</v>
      </c>
      <c r="I66" s="72" t="s">
        <v>342</v>
      </c>
      <c r="J66" s="70" t="s">
        <v>336</v>
      </c>
      <c r="K66" s="70">
        <v>39518.400000000001</v>
      </c>
      <c r="L66" s="70">
        <v>9879.6</v>
      </c>
      <c r="M66" s="70">
        <v>0</v>
      </c>
      <c r="N66" s="73">
        <v>49398</v>
      </c>
    </row>
    <row r="67" spans="1:14" ht="66.75" customHeight="1" x14ac:dyDescent="0.25">
      <c r="A67" s="1">
        <v>64</v>
      </c>
      <c r="B67" s="74" t="s">
        <v>340</v>
      </c>
      <c r="C67" s="75" t="s">
        <v>471</v>
      </c>
      <c r="D67" s="76" t="s">
        <v>670</v>
      </c>
      <c r="E67" s="76" t="s">
        <v>472</v>
      </c>
      <c r="F67" s="75" t="s">
        <v>60</v>
      </c>
      <c r="G67" s="75" t="s">
        <v>100</v>
      </c>
      <c r="H67" s="75" t="s">
        <v>462</v>
      </c>
      <c r="I67" s="77" t="s">
        <v>342</v>
      </c>
      <c r="J67" s="75" t="s">
        <v>336</v>
      </c>
      <c r="K67" s="75">
        <v>39518.400000000001</v>
      </c>
      <c r="L67" s="75">
        <v>9879.6</v>
      </c>
      <c r="M67" s="75">
        <v>0</v>
      </c>
      <c r="N67" s="78">
        <v>49398</v>
      </c>
    </row>
    <row r="68" spans="1:14" ht="66.75" customHeight="1" x14ac:dyDescent="0.25">
      <c r="A68" s="1">
        <v>65</v>
      </c>
      <c r="B68" s="69" t="s">
        <v>341</v>
      </c>
      <c r="C68" s="70" t="s">
        <v>473</v>
      </c>
      <c r="D68" s="71" t="s">
        <v>671</v>
      </c>
      <c r="E68" s="71" t="s">
        <v>474</v>
      </c>
      <c r="F68" s="70" t="s">
        <v>60</v>
      </c>
      <c r="G68" s="70" t="s">
        <v>100</v>
      </c>
      <c r="H68" s="70" t="s">
        <v>462</v>
      </c>
      <c r="I68" s="72" t="s">
        <v>342</v>
      </c>
      <c r="J68" s="70" t="s">
        <v>336</v>
      </c>
      <c r="K68" s="70">
        <v>39518.400000000001</v>
      </c>
      <c r="L68" s="70">
        <v>9879.6</v>
      </c>
      <c r="M68" s="70">
        <v>0</v>
      </c>
      <c r="N68" s="73">
        <v>49398</v>
      </c>
    </row>
    <row r="69" spans="1:14" ht="66.75" customHeight="1" x14ac:dyDescent="0.25">
      <c r="A69" s="1">
        <v>66</v>
      </c>
      <c r="B69" s="74" t="s">
        <v>341</v>
      </c>
      <c r="C69" s="75" t="s">
        <v>475</v>
      </c>
      <c r="D69" s="76" t="s">
        <v>672</v>
      </c>
      <c r="E69" s="76" t="s">
        <v>476</v>
      </c>
      <c r="F69" s="75" t="s">
        <v>60</v>
      </c>
      <c r="G69" s="75" t="s">
        <v>100</v>
      </c>
      <c r="H69" s="75" t="s">
        <v>462</v>
      </c>
      <c r="I69" s="77" t="s">
        <v>342</v>
      </c>
      <c r="J69" s="75" t="s">
        <v>336</v>
      </c>
      <c r="K69" s="75">
        <v>39518.400000000001</v>
      </c>
      <c r="L69" s="75">
        <v>9879.6</v>
      </c>
      <c r="M69" s="75">
        <v>0</v>
      </c>
      <c r="N69" s="78">
        <v>49398</v>
      </c>
    </row>
    <row r="70" spans="1:14" ht="66.75" customHeight="1" x14ac:dyDescent="0.25">
      <c r="A70" s="1">
        <v>67</v>
      </c>
      <c r="B70" s="69" t="s">
        <v>341</v>
      </c>
      <c r="C70" s="70" t="s">
        <v>477</v>
      </c>
      <c r="D70" s="71" t="s">
        <v>682</v>
      </c>
      <c r="E70" s="71" t="s">
        <v>478</v>
      </c>
      <c r="F70" s="70" t="s">
        <v>60</v>
      </c>
      <c r="G70" s="70" t="s">
        <v>100</v>
      </c>
      <c r="H70" s="70" t="s">
        <v>462</v>
      </c>
      <c r="I70" s="72" t="s">
        <v>342</v>
      </c>
      <c r="J70" s="70" t="s">
        <v>336</v>
      </c>
      <c r="K70" s="70">
        <v>39518.400000000001</v>
      </c>
      <c r="L70" s="70">
        <v>9879.6</v>
      </c>
      <c r="M70" s="70">
        <v>0</v>
      </c>
      <c r="N70" s="73">
        <v>49398</v>
      </c>
    </row>
    <row r="71" spans="1:14" ht="66.75" customHeight="1" x14ac:dyDescent="0.25">
      <c r="A71" s="1">
        <v>68</v>
      </c>
      <c r="B71" s="74" t="s">
        <v>341</v>
      </c>
      <c r="C71" s="75" t="s">
        <v>479</v>
      </c>
      <c r="D71" s="76" t="s">
        <v>681</v>
      </c>
      <c r="E71" s="76" t="s">
        <v>480</v>
      </c>
      <c r="F71" s="75" t="s">
        <v>60</v>
      </c>
      <c r="G71" s="75" t="s">
        <v>100</v>
      </c>
      <c r="H71" s="75" t="s">
        <v>462</v>
      </c>
      <c r="I71" s="77" t="s">
        <v>342</v>
      </c>
      <c r="J71" s="75" t="s">
        <v>336</v>
      </c>
      <c r="K71" s="75">
        <v>39518.400000000001</v>
      </c>
      <c r="L71" s="75">
        <v>9879.6</v>
      </c>
      <c r="M71" s="75">
        <v>0</v>
      </c>
      <c r="N71" s="78">
        <v>49398</v>
      </c>
    </row>
    <row r="72" spans="1:14" ht="66.75" customHeight="1" x14ac:dyDescent="0.25">
      <c r="A72" s="1">
        <v>69</v>
      </c>
      <c r="B72" s="69" t="s">
        <v>341</v>
      </c>
      <c r="C72" s="70" t="s">
        <v>481</v>
      </c>
      <c r="D72" s="71" t="s">
        <v>683</v>
      </c>
      <c r="E72" s="71" t="s">
        <v>482</v>
      </c>
      <c r="F72" s="70" t="s">
        <v>60</v>
      </c>
      <c r="G72" s="70" t="s">
        <v>100</v>
      </c>
      <c r="H72" s="70" t="s">
        <v>462</v>
      </c>
      <c r="I72" s="72" t="s">
        <v>342</v>
      </c>
      <c r="J72" s="70" t="s">
        <v>336</v>
      </c>
      <c r="K72" s="70">
        <v>39518.400000000001</v>
      </c>
      <c r="L72" s="70">
        <v>9879.6</v>
      </c>
      <c r="M72" s="70">
        <v>0</v>
      </c>
      <c r="N72" s="73">
        <v>49398</v>
      </c>
    </row>
    <row r="73" spans="1:14" ht="66.75" customHeight="1" x14ac:dyDescent="0.25">
      <c r="A73" s="1">
        <v>70</v>
      </c>
      <c r="B73" s="74" t="s">
        <v>341</v>
      </c>
      <c r="C73" s="75" t="s">
        <v>483</v>
      </c>
      <c r="D73" s="76" t="s">
        <v>684</v>
      </c>
      <c r="E73" s="76" t="s">
        <v>484</v>
      </c>
      <c r="F73" s="75" t="s">
        <v>60</v>
      </c>
      <c r="G73" s="75" t="s">
        <v>100</v>
      </c>
      <c r="H73" s="75" t="s">
        <v>462</v>
      </c>
      <c r="I73" s="77" t="s">
        <v>342</v>
      </c>
      <c r="J73" s="75" t="s">
        <v>336</v>
      </c>
      <c r="K73" s="75">
        <v>39518.400000000001</v>
      </c>
      <c r="L73" s="75">
        <v>9879.6</v>
      </c>
      <c r="M73" s="75">
        <v>0</v>
      </c>
      <c r="N73" s="78">
        <v>49398</v>
      </c>
    </row>
    <row r="74" spans="1:14" ht="66.75" customHeight="1" x14ac:dyDescent="0.25">
      <c r="A74" s="1">
        <v>71</v>
      </c>
      <c r="B74" s="69" t="s">
        <v>341</v>
      </c>
      <c r="C74" s="70" t="s">
        <v>485</v>
      </c>
      <c r="D74" s="71" t="s">
        <v>685</v>
      </c>
      <c r="E74" s="71" t="s">
        <v>486</v>
      </c>
      <c r="F74" s="70" t="s">
        <v>60</v>
      </c>
      <c r="G74" s="70" t="s">
        <v>100</v>
      </c>
      <c r="H74" s="70" t="s">
        <v>462</v>
      </c>
      <c r="I74" s="72" t="s">
        <v>342</v>
      </c>
      <c r="J74" s="70" t="s">
        <v>336</v>
      </c>
      <c r="K74" s="70">
        <v>39518.400000000001</v>
      </c>
      <c r="L74" s="70">
        <v>9879.6</v>
      </c>
      <c r="M74" s="70">
        <v>0</v>
      </c>
      <c r="N74" s="73">
        <v>49398</v>
      </c>
    </row>
    <row r="75" spans="1:14" ht="66.75" customHeight="1" x14ac:dyDescent="0.25">
      <c r="A75" s="1">
        <v>72</v>
      </c>
      <c r="B75" s="74" t="s">
        <v>341</v>
      </c>
      <c r="C75" s="75" t="s">
        <v>487</v>
      </c>
      <c r="D75" s="76" t="s">
        <v>680</v>
      </c>
      <c r="E75" s="76" t="s">
        <v>488</v>
      </c>
      <c r="F75" s="75" t="s">
        <v>60</v>
      </c>
      <c r="G75" s="75" t="s">
        <v>100</v>
      </c>
      <c r="H75" s="75" t="s">
        <v>462</v>
      </c>
      <c r="I75" s="77" t="s">
        <v>342</v>
      </c>
      <c r="J75" s="75" t="s">
        <v>336</v>
      </c>
      <c r="K75" s="75">
        <v>39518.400000000001</v>
      </c>
      <c r="L75" s="75">
        <v>9879.6</v>
      </c>
      <c r="M75" s="75">
        <v>0</v>
      </c>
      <c r="N75" s="78">
        <v>49398</v>
      </c>
    </row>
    <row r="76" spans="1:14" ht="66.75" customHeight="1" x14ac:dyDescent="0.25">
      <c r="A76" s="1">
        <v>73</v>
      </c>
      <c r="B76" s="69" t="s">
        <v>337</v>
      </c>
      <c r="C76" s="70" t="s">
        <v>489</v>
      </c>
      <c r="D76" s="71" t="s">
        <v>686</v>
      </c>
      <c r="E76" s="71" t="s">
        <v>490</v>
      </c>
      <c r="F76" s="70" t="s">
        <v>60</v>
      </c>
      <c r="G76" s="70" t="s">
        <v>100</v>
      </c>
      <c r="H76" s="70" t="s">
        <v>462</v>
      </c>
      <c r="I76" s="72" t="s">
        <v>335</v>
      </c>
      <c r="J76" s="70" t="s">
        <v>336</v>
      </c>
      <c r="K76" s="70">
        <v>41565</v>
      </c>
      <c r="L76" s="70">
        <v>17813</v>
      </c>
      <c r="M76" s="70">
        <v>0</v>
      </c>
      <c r="N76" s="73">
        <v>59378</v>
      </c>
    </row>
    <row r="77" spans="1:14" ht="66.75" customHeight="1" x14ac:dyDescent="0.25">
      <c r="A77" s="1">
        <v>74</v>
      </c>
      <c r="B77" s="74" t="s">
        <v>341</v>
      </c>
      <c r="C77" s="75" t="s">
        <v>491</v>
      </c>
      <c r="D77" s="76" t="s">
        <v>687</v>
      </c>
      <c r="E77" s="76" t="s">
        <v>492</v>
      </c>
      <c r="F77" s="75" t="s">
        <v>60</v>
      </c>
      <c r="G77" s="75" t="s">
        <v>100</v>
      </c>
      <c r="H77" s="75" t="s">
        <v>462</v>
      </c>
      <c r="I77" s="77" t="s">
        <v>335</v>
      </c>
      <c r="J77" s="75" t="s">
        <v>336</v>
      </c>
      <c r="K77" s="75">
        <v>23100</v>
      </c>
      <c r="L77" s="75">
        <v>9900</v>
      </c>
      <c r="M77" s="75">
        <v>0</v>
      </c>
      <c r="N77" s="78">
        <v>33000</v>
      </c>
    </row>
    <row r="78" spans="1:14" ht="66.75" customHeight="1" x14ac:dyDescent="0.25">
      <c r="A78" s="1">
        <v>75</v>
      </c>
      <c r="B78" s="69" t="s">
        <v>341</v>
      </c>
      <c r="C78" s="70" t="s">
        <v>493</v>
      </c>
      <c r="D78" s="71" t="s">
        <v>688</v>
      </c>
      <c r="E78" s="71" t="s">
        <v>494</v>
      </c>
      <c r="F78" s="70" t="s">
        <v>60</v>
      </c>
      <c r="G78" s="70" t="s">
        <v>100</v>
      </c>
      <c r="H78" s="70" t="s">
        <v>462</v>
      </c>
      <c r="I78" s="72" t="s">
        <v>335</v>
      </c>
      <c r="J78" s="70" t="s">
        <v>336</v>
      </c>
      <c r="K78" s="70">
        <v>23100</v>
      </c>
      <c r="L78" s="70">
        <v>9900</v>
      </c>
      <c r="M78" s="70">
        <v>0</v>
      </c>
      <c r="N78" s="73">
        <v>33000</v>
      </c>
    </row>
    <row r="79" spans="1:14" ht="66.75" customHeight="1" x14ac:dyDescent="0.25">
      <c r="A79" s="1">
        <v>76</v>
      </c>
      <c r="B79" s="74" t="s">
        <v>334</v>
      </c>
      <c r="C79" s="75" t="s">
        <v>497</v>
      </c>
      <c r="D79" s="76" t="s">
        <v>689</v>
      </c>
      <c r="E79" s="76" t="s">
        <v>498</v>
      </c>
      <c r="F79" s="75" t="s">
        <v>495</v>
      </c>
      <c r="G79" s="75" t="s">
        <v>496</v>
      </c>
      <c r="H79" s="75" t="s">
        <v>499</v>
      </c>
      <c r="I79" s="77" t="s">
        <v>335</v>
      </c>
      <c r="J79" s="75" t="s">
        <v>336</v>
      </c>
      <c r="K79" s="75">
        <v>38678.44</v>
      </c>
      <c r="L79" s="75">
        <v>16576.48</v>
      </c>
      <c r="M79" s="75">
        <v>0</v>
      </c>
      <c r="N79" s="78">
        <v>55254.92</v>
      </c>
    </row>
    <row r="80" spans="1:14" ht="66.75" customHeight="1" x14ac:dyDescent="0.25">
      <c r="A80" s="1">
        <v>77</v>
      </c>
      <c r="B80" s="69" t="s">
        <v>334</v>
      </c>
      <c r="C80" s="70" t="s">
        <v>500</v>
      </c>
      <c r="D80" s="71" t="s">
        <v>690</v>
      </c>
      <c r="E80" s="71" t="s">
        <v>501</v>
      </c>
      <c r="F80" s="70" t="s">
        <v>495</v>
      </c>
      <c r="G80" s="70" t="s">
        <v>496</v>
      </c>
      <c r="H80" s="70" t="s">
        <v>499</v>
      </c>
      <c r="I80" s="72" t="s">
        <v>335</v>
      </c>
      <c r="J80" s="70" t="s">
        <v>336</v>
      </c>
      <c r="K80" s="70">
        <v>55893.599999999999</v>
      </c>
      <c r="L80" s="70">
        <v>23954.400000000001</v>
      </c>
      <c r="M80" s="70">
        <v>0</v>
      </c>
      <c r="N80" s="73">
        <v>79848</v>
      </c>
    </row>
    <row r="81" spans="1:14" ht="66.75" customHeight="1" x14ac:dyDescent="0.25">
      <c r="A81" s="1">
        <v>78</v>
      </c>
      <c r="B81" s="74" t="s">
        <v>337</v>
      </c>
      <c r="C81" s="75" t="s">
        <v>502</v>
      </c>
      <c r="D81" s="76" t="s">
        <v>691</v>
      </c>
      <c r="E81" s="76" t="s">
        <v>503</v>
      </c>
      <c r="F81" s="75" t="s">
        <v>495</v>
      </c>
      <c r="G81" s="75" t="s">
        <v>496</v>
      </c>
      <c r="H81" s="75" t="s">
        <v>499</v>
      </c>
      <c r="I81" s="77" t="s">
        <v>335</v>
      </c>
      <c r="J81" s="75" t="s">
        <v>336</v>
      </c>
      <c r="K81" s="75">
        <v>50400</v>
      </c>
      <c r="L81" s="75">
        <v>21600</v>
      </c>
      <c r="M81" s="75">
        <v>0</v>
      </c>
      <c r="N81" s="78">
        <v>72000</v>
      </c>
    </row>
    <row r="82" spans="1:14" ht="66.75" customHeight="1" x14ac:dyDescent="0.25">
      <c r="A82" s="1">
        <v>79</v>
      </c>
      <c r="B82" s="69" t="s">
        <v>337</v>
      </c>
      <c r="C82" s="70" t="s">
        <v>504</v>
      </c>
      <c r="D82" s="71" t="s">
        <v>692</v>
      </c>
      <c r="E82" s="71" t="s">
        <v>505</v>
      </c>
      <c r="F82" s="70" t="s">
        <v>495</v>
      </c>
      <c r="G82" s="70" t="s">
        <v>496</v>
      </c>
      <c r="H82" s="70" t="s">
        <v>499</v>
      </c>
      <c r="I82" s="72" t="s">
        <v>335</v>
      </c>
      <c r="J82" s="70" t="s">
        <v>336</v>
      </c>
      <c r="K82" s="70">
        <v>33600</v>
      </c>
      <c r="L82" s="70">
        <v>14400</v>
      </c>
      <c r="M82" s="70">
        <v>0</v>
      </c>
      <c r="N82" s="73">
        <v>48000</v>
      </c>
    </row>
    <row r="83" spans="1:14" ht="66.75" customHeight="1" x14ac:dyDescent="0.25">
      <c r="A83" s="1">
        <v>80</v>
      </c>
      <c r="B83" s="74" t="s">
        <v>338</v>
      </c>
      <c r="C83" s="75" t="s">
        <v>506</v>
      </c>
      <c r="D83" s="76" t="s">
        <v>693</v>
      </c>
      <c r="E83" s="76" t="s">
        <v>507</v>
      </c>
      <c r="F83" s="75" t="s">
        <v>495</v>
      </c>
      <c r="G83" s="75" t="s">
        <v>496</v>
      </c>
      <c r="H83" s="75" t="s">
        <v>499</v>
      </c>
      <c r="I83" s="77" t="s">
        <v>335</v>
      </c>
      <c r="J83" s="75" t="s">
        <v>336</v>
      </c>
      <c r="K83" s="75">
        <v>19670</v>
      </c>
      <c r="L83" s="75">
        <v>8430</v>
      </c>
      <c r="M83" s="75">
        <v>0</v>
      </c>
      <c r="N83" s="78">
        <v>28100</v>
      </c>
    </row>
    <row r="84" spans="1:14" ht="66.75" customHeight="1" x14ac:dyDescent="0.25">
      <c r="A84" s="1">
        <v>81</v>
      </c>
      <c r="B84" s="69" t="s">
        <v>337</v>
      </c>
      <c r="C84" s="70" t="s">
        <v>509</v>
      </c>
      <c r="D84" s="71" t="s">
        <v>694</v>
      </c>
      <c r="E84" s="71" t="s">
        <v>510</v>
      </c>
      <c r="F84" s="70" t="s">
        <v>210</v>
      </c>
      <c r="G84" s="70" t="s">
        <v>214</v>
      </c>
      <c r="H84" s="70" t="s">
        <v>252</v>
      </c>
      <c r="I84" s="72" t="s">
        <v>342</v>
      </c>
      <c r="J84" s="70" t="s">
        <v>336</v>
      </c>
      <c r="K84" s="70">
        <v>33650</v>
      </c>
      <c r="L84" s="70">
        <v>8413</v>
      </c>
      <c r="M84" s="70">
        <v>0</v>
      </c>
      <c r="N84" s="73">
        <v>42063</v>
      </c>
    </row>
    <row r="85" spans="1:14" ht="66.75" customHeight="1" x14ac:dyDescent="0.25">
      <c r="A85" s="1">
        <v>82</v>
      </c>
      <c r="B85" s="74" t="s">
        <v>337</v>
      </c>
      <c r="C85" s="75" t="s">
        <v>511</v>
      </c>
      <c r="D85" s="76" t="s">
        <v>695</v>
      </c>
      <c r="E85" s="76" t="s">
        <v>512</v>
      </c>
      <c r="F85" s="75" t="s">
        <v>210</v>
      </c>
      <c r="G85" s="75" t="s">
        <v>214</v>
      </c>
      <c r="H85" s="75" t="s">
        <v>252</v>
      </c>
      <c r="I85" s="77" t="s">
        <v>342</v>
      </c>
      <c r="J85" s="75" t="s">
        <v>336</v>
      </c>
      <c r="K85" s="75">
        <v>33633</v>
      </c>
      <c r="L85" s="75">
        <v>8430</v>
      </c>
      <c r="M85" s="75">
        <v>0</v>
      </c>
      <c r="N85" s="78">
        <v>42063</v>
      </c>
    </row>
    <row r="86" spans="1:14" ht="66.75" customHeight="1" x14ac:dyDescent="0.25">
      <c r="A86" s="1">
        <v>83</v>
      </c>
      <c r="B86" s="69" t="s">
        <v>337</v>
      </c>
      <c r="C86" s="70" t="s">
        <v>513</v>
      </c>
      <c r="D86" s="71" t="s">
        <v>696</v>
      </c>
      <c r="E86" s="71" t="s">
        <v>514</v>
      </c>
      <c r="F86" s="70" t="s">
        <v>210</v>
      </c>
      <c r="G86" s="70" t="s">
        <v>214</v>
      </c>
      <c r="H86" s="70" t="s">
        <v>252</v>
      </c>
      <c r="I86" s="72" t="s">
        <v>342</v>
      </c>
      <c r="J86" s="70" t="s">
        <v>336</v>
      </c>
      <c r="K86" s="70">
        <v>33650</v>
      </c>
      <c r="L86" s="70">
        <v>8413</v>
      </c>
      <c r="M86" s="70">
        <v>0</v>
      </c>
      <c r="N86" s="73">
        <v>42063</v>
      </c>
    </row>
    <row r="87" spans="1:14" ht="66.75" customHeight="1" x14ac:dyDescent="0.25">
      <c r="A87" s="1">
        <v>84</v>
      </c>
      <c r="B87" s="74" t="s">
        <v>337</v>
      </c>
      <c r="C87" s="75" t="s">
        <v>515</v>
      </c>
      <c r="D87" s="76" t="s">
        <v>697</v>
      </c>
      <c r="E87" s="76" t="s">
        <v>516</v>
      </c>
      <c r="F87" s="75" t="s">
        <v>210</v>
      </c>
      <c r="G87" s="75" t="s">
        <v>214</v>
      </c>
      <c r="H87" s="75" t="s">
        <v>252</v>
      </c>
      <c r="I87" s="77" t="s">
        <v>342</v>
      </c>
      <c r="J87" s="75" t="s">
        <v>336</v>
      </c>
      <c r="K87" s="75">
        <v>33650</v>
      </c>
      <c r="L87" s="75">
        <v>8413</v>
      </c>
      <c r="M87" s="75">
        <v>0</v>
      </c>
      <c r="N87" s="78">
        <v>42063</v>
      </c>
    </row>
    <row r="88" spans="1:14" ht="66.75" customHeight="1" x14ac:dyDescent="0.25">
      <c r="A88" s="1">
        <v>85</v>
      </c>
      <c r="B88" s="69" t="s">
        <v>339</v>
      </c>
      <c r="C88" s="70" t="s">
        <v>517</v>
      </c>
      <c r="D88" s="71" t="s">
        <v>698</v>
      </c>
      <c r="E88" s="71" t="s">
        <v>518</v>
      </c>
      <c r="F88" s="70" t="s">
        <v>210</v>
      </c>
      <c r="G88" s="70" t="s">
        <v>214</v>
      </c>
      <c r="H88" s="70" t="s">
        <v>286</v>
      </c>
      <c r="I88" s="72" t="s">
        <v>335</v>
      </c>
      <c r="J88" s="70" t="s">
        <v>336</v>
      </c>
      <c r="K88" s="70">
        <v>31926.3</v>
      </c>
      <c r="L88" s="70">
        <v>13682.7</v>
      </c>
      <c r="M88" s="70">
        <v>0</v>
      </c>
      <c r="N88" s="73">
        <v>45609</v>
      </c>
    </row>
    <row r="89" spans="1:14" ht="66.75" customHeight="1" x14ac:dyDescent="0.25">
      <c r="A89" s="1">
        <v>86</v>
      </c>
      <c r="B89" s="74" t="s">
        <v>339</v>
      </c>
      <c r="C89" s="75" t="s">
        <v>519</v>
      </c>
      <c r="D89" s="76" t="s">
        <v>699</v>
      </c>
      <c r="E89" s="76" t="s">
        <v>520</v>
      </c>
      <c r="F89" s="75" t="s">
        <v>210</v>
      </c>
      <c r="G89" s="75" t="s">
        <v>214</v>
      </c>
      <c r="H89" s="75" t="s">
        <v>286</v>
      </c>
      <c r="I89" s="77" t="s">
        <v>335</v>
      </c>
      <c r="J89" s="75" t="s">
        <v>336</v>
      </c>
      <c r="K89" s="75">
        <v>23100</v>
      </c>
      <c r="L89" s="75">
        <v>9900</v>
      </c>
      <c r="M89" s="75">
        <v>0</v>
      </c>
      <c r="N89" s="78">
        <v>33000</v>
      </c>
    </row>
    <row r="90" spans="1:14" ht="66.75" customHeight="1" x14ac:dyDescent="0.25">
      <c r="A90" s="1">
        <v>87</v>
      </c>
      <c r="B90" s="69" t="s">
        <v>340</v>
      </c>
      <c r="C90" s="70" t="s">
        <v>521</v>
      </c>
      <c r="D90" s="71" t="s">
        <v>700</v>
      </c>
      <c r="E90" s="71" t="s">
        <v>522</v>
      </c>
      <c r="F90" s="70" t="s">
        <v>210</v>
      </c>
      <c r="G90" s="70" t="s">
        <v>214</v>
      </c>
      <c r="H90" s="70" t="s">
        <v>286</v>
      </c>
      <c r="I90" s="72" t="s">
        <v>335</v>
      </c>
      <c r="J90" s="70" t="s">
        <v>336</v>
      </c>
      <c r="K90" s="70">
        <v>23100</v>
      </c>
      <c r="L90" s="70">
        <v>9900</v>
      </c>
      <c r="M90" s="70">
        <v>0</v>
      </c>
      <c r="N90" s="73">
        <v>33000</v>
      </c>
    </row>
    <row r="91" spans="1:14" ht="66.75" customHeight="1" x14ac:dyDescent="0.25">
      <c r="A91" s="1">
        <v>88</v>
      </c>
      <c r="B91" s="74" t="s">
        <v>340</v>
      </c>
      <c r="C91" s="75" t="s">
        <v>523</v>
      </c>
      <c r="D91" s="76" t="s">
        <v>701</v>
      </c>
      <c r="E91" s="76" t="s">
        <v>524</v>
      </c>
      <c r="F91" s="75" t="s">
        <v>210</v>
      </c>
      <c r="G91" s="75" t="s">
        <v>214</v>
      </c>
      <c r="H91" s="75" t="s">
        <v>286</v>
      </c>
      <c r="I91" s="77" t="s">
        <v>335</v>
      </c>
      <c r="J91" s="75" t="s">
        <v>336</v>
      </c>
      <c r="K91" s="75">
        <v>23100</v>
      </c>
      <c r="L91" s="75">
        <v>9900</v>
      </c>
      <c r="M91" s="75">
        <v>0</v>
      </c>
      <c r="N91" s="78">
        <v>33000</v>
      </c>
    </row>
    <row r="92" spans="1:14" ht="66.75" customHeight="1" x14ac:dyDescent="0.25">
      <c r="A92" s="1">
        <v>89</v>
      </c>
      <c r="B92" s="69" t="s">
        <v>340</v>
      </c>
      <c r="C92" s="70" t="s">
        <v>525</v>
      </c>
      <c r="D92" s="71" t="s">
        <v>702</v>
      </c>
      <c r="E92" s="71" t="s">
        <v>526</v>
      </c>
      <c r="F92" s="70" t="s">
        <v>210</v>
      </c>
      <c r="G92" s="70" t="s">
        <v>214</v>
      </c>
      <c r="H92" s="70" t="s">
        <v>286</v>
      </c>
      <c r="I92" s="72" t="s">
        <v>335</v>
      </c>
      <c r="J92" s="70" t="s">
        <v>336</v>
      </c>
      <c r="K92" s="70">
        <v>23100</v>
      </c>
      <c r="L92" s="70">
        <v>9900</v>
      </c>
      <c r="M92" s="70">
        <v>0</v>
      </c>
      <c r="N92" s="73">
        <v>33000</v>
      </c>
    </row>
    <row r="93" spans="1:14" ht="66.75" customHeight="1" x14ac:dyDescent="0.25">
      <c r="A93" s="1">
        <v>90</v>
      </c>
      <c r="B93" s="74" t="s">
        <v>337</v>
      </c>
      <c r="C93" s="75" t="s">
        <v>527</v>
      </c>
      <c r="D93" s="76" t="s">
        <v>703</v>
      </c>
      <c r="E93" s="76" t="s">
        <v>528</v>
      </c>
      <c r="F93" s="75" t="s">
        <v>210</v>
      </c>
      <c r="G93" s="75" t="s">
        <v>214</v>
      </c>
      <c r="H93" s="75" t="s">
        <v>236</v>
      </c>
      <c r="I93" s="77" t="s">
        <v>342</v>
      </c>
      <c r="J93" s="75" t="s">
        <v>336</v>
      </c>
      <c r="K93" s="75">
        <v>33650</v>
      </c>
      <c r="L93" s="75">
        <v>8413</v>
      </c>
      <c r="M93" s="75">
        <v>0</v>
      </c>
      <c r="N93" s="78">
        <v>42063</v>
      </c>
    </row>
    <row r="94" spans="1:14" ht="66.75" customHeight="1" x14ac:dyDescent="0.25">
      <c r="A94" s="1">
        <v>91</v>
      </c>
      <c r="B94" s="69" t="s">
        <v>337</v>
      </c>
      <c r="C94" s="70" t="s">
        <v>529</v>
      </c>
      <c r="D94" s="71" t="s">
        <v>704</v>
      </c>
      <c r="E94" s="71" t="s">
        <v>530</v>
      </c>
      <c r="F94" s="70" t="s">
        <v>210</v>
      </c>
      <c r="G94" s="70" t="s">
        <v>214</v>
      </c>
      <c r="H94" s="70" t="s">
        <v>236</v>
      </c>
      <c r="I94" s="72" t="s">
        <v>342</v>
      </c>
      <c r="J94" s="70" t="s">
        <v>336</v>
      </c>
      <c r="K94" s="70">
        <v>33650</v>
      </c>
      <c r="L94" s="70">
        <v>8413</v>
      </c>
      <c r="M94" s="70">
        <v>0</v>
      </c>
      <c r="N94" s="73">
        <v>42063</v>
      </c>
    </row>
    <row r="95" spans="1:14" ht="66.75" customHeight="1" x14ac:dyDescent="0.25">
      <c r="A95" s="1">
        <v>92</v>
      </c>
      <c r="B95" s="74" t="s">
        <v>334</v>
      </c>
      <c r="C95" s="75" t="s">
        <v>531</v>
      </c>
      <c r="D95" s="76" t="s">
        <v>705</v>
      </c>
      <c r="E95" s="76" t="s">
        <v>532</v>
      </c>
      <c r="F95" s="75" t="s">
        <v>210</v>
      </c>
      <c r="G95" s="75" t="s">
        <v>219</v>
      </c>
      <c r="H95" s="75" t="s">
        <v>533</v>
      </c>
      <c r="I95" s="77" t="s">
        <v>342</v>
      </c>
      <c r="J95" s="75" t="s">
        <v>336</v>
      </c>
      <c r="K95" s="75">
        <v>33720</v>
      </c>
      <c r="L95" s="75">
        <v>17100</v>
      </c>
      <c r="M95" s="75">
        <v>11152</v>
      </c>
      <c r="N95" s="78">
        <v>61972</v>
      </c>
    </row>
    <row r="96" spans="1:14" ht="66.75" customHeight="1" x14ac:dyDescent="0.25">
      <c r="A96" s="1">
        <v>93</v>
      </c>
      <c r="B96" s="69" t="s">
        <v>341</v>
      </c>
      <c r="C96" s="70" t="s">
        <v>534</v>
      </c>
      <c r="D96" s="71" t="s">
        <v>706</v>
      </c>
      <c r="E96" s="71" t="s">
        <v>535</v>
      </c>
      <c r="F96" s="70" t="s">
        <v>210</v>
      </c>
      <c r="G96" s="70" t="s">
        <v>219</v>
      </c>
      <c r="H96" s="70" t="s">
        <v>533</v>
      </c>
      <c r="I96" s="72" t="s">
        <v>335</v>
      </c>
      <c r="J96" s="70" t="s">
        <v>336</v>
      </c>
      <c r="K96" s="70">
        <v>39930.1</v>
      </c>
      <c r="L96" s="70">
        <v>17112.900000000001</v>
      </c>
      <c r="M96" s="70">
        <v>0</v>
      </c>
      <c r="N96" s="73">
        <v>57043</v>
      </c>
    </row>
    <row r="97" spans="1:14" ht="66.75" customHeight="1" x14ac:dyDescent="0.25">
      <c r="A97" s="1">
        <v>94</v>
      </c>
      <c r="B97" s="74" t="s">
        <v>340</v>
      </c>
      <c r="C97" s="75" t="s">
        <v>536</v>
      </c>
      <c r="D97" s="76" t="s">
        <v>707</v>
      </c>
      <c r="E97" s="76" t="s">
        <v>537</v>
      </c>
      <c r="F97" s="75" t="s">
        <v>304</v>
      </c>
      <c r="G97" s="75" t="s">
        <v>508</v>
      </c>
      <c r="H97" s="75" t="s">
        <v>538</v>
      </c>
      <c r="I97" s="77" t="s">
        <v>335</v>
      </c>
      <c r="J97" s="75" t="s">
        <v>336</v>
      </c>
      <c r="K97" s="75">
        <v>23100</v>
      </c>
      <c r="L97" s="75">
        <v>9900</v>
      </c>
      <c r="M97" s="75">
        <v>0</v>
      </c>
      <c r="N97" s="78">
        <v>33000</v>
      </c>
    </row>
    <row r="98" spans="1:14" ht="66.75" customHeight="1" x14ac:dyDescent="0.25">
      <c r="A98" s="1">
        <v>95</v>
      </c>
      <c r="B98" s="69" t="s">
        <v>340</v>
      </c>
      <c r="C98" s="70" t="s">
        <v>539</v>
      </c>
      <c r="D98" s="71" t="s">
        <v>708</v>
      </c>
      <c r="E98" s="71" t="s">
        <v>540</v>
      </c>
      <c r="F98" s="70" t="s">
        <v>304</v>
      </c>
      <c r="G98" s="70" t="s">
        <v>508</v>
      </c>
      <c r="H98" s="70" t="s">
        <v>538</v>
      </c>
      <c r="I98" s="72" t="s">
        <v>335</v>
      </c>
      <c r="J98" s="70" t="s">
        <v>336</v>
      </c>
      <c r="K98" s="70">
        <v>23100</v>
      </c>
      <c r="L98" s="70">
        <v>9900</v>
      </c>
      <c r="M98" s="70">
        <v>0</v>
      </c>
      <c r="N98" s="73">
        <v>33000</v>
      </c>
    </row>
    <row r="99" spans="1:14" ht="66.75" customHeight="1" x14ac:dyDescent="0.25">
      <c r="A99" s="1">
        <v>96</v>
      </c>
      <c r="B99" s="79" t="s">
        <v>341</v>
      </c>
      <c r="C99" s="80" t="s">
        <v>541</v>
      </c>
      <c r="D99" s="81" t="s">
        <v>709</v>
      </c>
      <c r="E99" s="81" t="s">
        <v>542</v>
      </c>
      <c r="F99" s="80" t="s">
        <v>304</v>
      </c>
      <c r="G99" s="80" t="s">
        <v>508</v>
      </c>
      <c r="H99" s="80" t="s">
        <v>538</v>
      </c>
      <c r="I99" s="82" t="s">
        <v>335</v>
      </c>
      <c r="J99" s="80" t="s">
        <v>336</v>
      </c>
      <c r="K99" s="80">
        <v>23100</v>
      </c>
      <c r="L99" s="80">
        <v>9900</v>
      </c>
      <c r="M99" s="80">
        <v>0</v>
      </c>
      <c r="N99" s="83">
        <v>33000</v>
      </c>
    </row>
    <row r="100" spans="1:14" x14ac:dyDescent="0.25">
      <c r="N100">
        <f>SUBTOTAL(9,N4:N99)</f>
        <v>4420794.3499999996</v>
      </c>
    </row>
  </sheetData>
  <autoFilter ref="B3:N99"/>
  <mergeCells count="1">
    <mergeCell ref="B2:N2"/>
  </mergeCells>
  <pageMargins left="0.70866141732283472" right="0.70866141732283472" top="0.74803149606299213" bottom="0.35433070866141736" header="0.31496062992125984" footer="0.31496062992125984"/>
  <pageSetup paperSize="9" scale="70"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B1:N37"/>
  <sheetViews>
    <sheetView workbookViewId="0">
      <selection activeCell="C1" sqref="C1"/>
    </sheetView>
  </sheetViews>
  <sheetFormatPr baseColWidth="10" defaultRowHeight="15" x14ac:dyDescent="0.25"/>
  <cols>
    <col min="1" max="1" width="3.140625" customWidth="1"/>
    <col min="2" max="2" width="6.28515625" customWidth="1"/>
    <col min="3" max="3" width="10" customWidth="1"/>
    <col min="4" max="4" width="45" customWidth="1"/>
    <col min="6" max="6" width="16.7109375" customWidth="1"/>
    <col min="7" max="7" width="14.85546875" customWidth="1"/>
    <col min="8" max="8" width="16.42578125" customWidth="1"/>
  </cols>
  <sheetData>
    <row r="1" spans="2:14" ht="19.5" thickBot="1" x14ac:dyDescent="0.3">
      <c r="B1" s="98"/>
      <c r="C1" s="98" t="s">
        <v>710</v>
      </c>
      <c r="D1" s="98"/>
      <c r="E1" s="98"/>
      <c r="F1" s="98"/>
      <c r="G1" s="98"/>
      <c r="H1" s="98"/>
      <c r="I1" s="96"/>
      <c r="J1" s="96"/>
      <c r="K1" s="96"/>
      <c r="L1" s="96"/>
      <c r="M1" s="96"/>
      <c r="N1" s="96"/>
    </row>
    <row r="2" spans="2:14" ht="15.75" x14ac:dyDescent="0.25">
      <c r="B2" s="92" t="s">
        <v>543</v>
      </c>
      <c r="C2" s="89" t="s">
        <v>544</v>
      </c>
      <c r="D2" s="90" t="s">
        <v>545</v>
      </c>
      <c r="E2" s="89" t="s">
        <v>546</v>
      </c>
      <c r="F2" s="91" t="s">
        <v>547</v>
      </c>
      <c r="G2" s="90" t="s">
        <v>320</v>
      </c>
      <c r="H2" s="90" t="s">
        <v>319</v>
      </c>
    </row>
    <row r="3" spans="2:14" ht="36.75" customHeight="1" x14ac:dyDescent="0.25">
      <c r="B3" s="1">
        <v>1</v>
      </c>
      <c r="C3" s="84" t="s">
        <v>548</v>
      </c>
      <c r="D3" s="85" t="s">
        <v>549</v>
      </c>
      <c r="E3" s="11" t="s">
        <v>550</v>
      </c>
      <c r="F3" s="86" t="s">
        <v>551</v>
      </c>
      <c r="G3" s="85" t="s">
        <v>214</v>
      </c>
      <c r="H3" s="85" t="s">
        <v>552</v>
      </c>
    </row>
    <row r="4" spans="2:14" ht="36.75" customHeight="1" x14ac:dyDescent="0.25">
      <c r="B4" s="1">
        <v>2</v>
      </c>
      <c r="C4" s="84" t="s">
        <v>548</v>
      </c>
      <c r="D4" s="85" t="s">
        <v>556</v>
      </c>
      <c r="E4" s="11" t="s">
        <v>550</v>
      </c>
      <c r="F4" s="86" t="s">
        <v>557</v>
      </c>
      <c r="G4" s="85" t="s">
        <v>558</v>
      </c>
      <c r="H4" s="85" t="s">
        <v>499</v>
      </c>
    </row>
    <row r="5" spans="2:14" ht="36.75" customHeight="1" x14ac:dyDescent="0.25">
      <c r="B5" s="1">
        <v>3</v>
      </c>
      <c r="C5" s="84" t="s">
        <v>548</v>
      </c>
      <c r="D5" s="85" t="s">
        <v>559</v>
      </c>
      <c r="E5" s="11" t="s">
        <v>560</v>
      </c>
      <c r="F5" s="86" t="s">
        <v>561</v>
      </c>
      <c r="G5" s="85" t="s">
        <v>75</v>
      </c>
      <c r="H5" s="85" t="s">
        <v>401</v>
      </c>
    </row>
    <row r="6" spans="2:14" ht="36.75" customHeight="1" x14ac:dyDescent="0.25">
      <c r="B6" s="1">
        <v>4</v>
      </c>
      <c r="C6" s="84" t="s">
        <v>562</v>
      </c>
      <c r="D6" s="85" t="s">
        <v>563</v>
      </c>
      <c r="E6" s="11" t="s">
        <v>564</v>
      </c>
      <c r="F6" s="86" t="s">
        <v>554</v>
      </c>
      <c r="G6" s="87" t="s">
        <v>555</v>
      </c>
      <c r="H6" s="85" t="s">
        <v>565</v>
      </c>
    </row>
    <row r="7" spans="2:14" ht="36.75" customHeight="1" x14ac:dyDescent="0.25">
      <c r="B7" s="1">
        <v>5</v>
      </c>
      <c r="C7" s="84" t="s">
        <v>548</v>
      </c>
      <c r="D7" s="85" t="s">
        <v>566</v>
      </c>
      <c r="E7" s="11" t="s">
        <v>567</v>
      </c>
      <c r="F7" s="88" t="s">
        <v>551</v>
      </c>
      <c r="G7" s="85" t="s">
        <v>214</v>
      </c>
      <c r="H7" s="87" t="s">
        <v>286</v>
      </c>
    </row>
    <row r="8" spans="2:14" ht="36.75" customHeight="1" x14ac:dyDescent="0.25">
      <c r="B8" s="1">
        <v>6</v>
      </c>
      <c r="C8" s="84" t="s">
        <v>562</v>
      </c>
      <c r="D8" s="85" t="s">
        <v>568</v>
      </c>
      <c r="E8" s="11" t="s">
        <v>569</v>
      </c>
      <c r="F8" s="86" t="s">
        <v>554</v>
      </c>
      <c r="G8" s="87" t="s">
        <v>555</v>
      </c>
      <c r="H8" s="85" t="s">
        <v>565</v>
      </c>
    </row>
    <row r="9" spans="2:14" ht="36.75" customHeight="1" x14ac:dyDescent="0.25">
      <c r="B9" s="1">
        <v>7</v>
      </c>
      <c r="C9" s="84" t="s">
        <v>548</v>
      </c>
      <c r="D9" s="85" t="s">
        <v>570</v>
      </c>
      <c r="E9" s="11" t="s">
        <v>560</v>
      </c>
      <c r="F9" s="86" t="s">
        <v>561</v>
      </c>
      <c r="G9" s="85" t="s">
        <v>100</v>
      </c>
      <c r="H9" s="85" t="s">
        <v>115</v>
      </c>
    </row>
    <row r="10" spans="2:14" ht="36.75" customHeight="1" x14ac:dyDescent="0.25">
      <c r="B10" s="1">
        <v>8</v>
      </c>
      <c r="C10" s="84" t="s">
        <v>548</v>
      </c>
      <c r="D10" s="85" t="s">
        <v>571</v>
      </c>
      <c r="E10" s="11" t="s">
        <v>550</v>
      </c>
      <c r="F10" s="86" t="s">
        <v>551</v>
      </c>
      <c r="G10" s="85" t="s">
        <v>214</v>
      </c>
      <c r="H10" s="85" t="s">
        <v>552</v>
      </c>
    </row>
    <row r="11" spans="2:14" ht="36.75" customHeight="1" x14ac:dyDescent="0.25">
      <c r="B11" s="1">
        <v>9</v>
      </c>
      <c r="C11" s="84" t="s">
        <v>548</v>
      </c>
      <c r="D11" s="85" t="s">
        <v>572</v>
      </c>
      <c r="E11" s="11" t="s">
        <v>573</v>
      </c>
      <c r="F11" s="86" t="s">
        <v>561</v>
      </c>
      <c r="G11" s="85" t="s">
        <v>100</v>
      </c>
      <c r="H11" s="85" t="s">
        <v>153</v>
      </c>
    </row>
    <row r="12" spans="2:14" ht="36.75" customHeight="1" x14ac:dyDescent="0.25">
      <c r="B12" s="1">
        <v>10</v>
      </c>
      <c r="C12" s="84" t="s">
        <v>548</v>
      </c>
      <c r="D12" s="85" t="s">
        <v>574</v>
      </c>
      <c r="E12" s="11" t="s">
        <v>575</v>
      </c>
      <c r="F12" s="86" t="s">
        <v>561</v>
      </c>
      <c r="G12" s="85" t="s">
        <v>75</v>
      </c>
      <c r="H12" s="85" t="s">
        <v>81</v>
      </c>
    </row>
    <row r="13" spans="2:14" ht="36.75" customHeight="1" x14ac:dyDescent="0.25">
      <c r="B13" s="1">
        <v>11</v>
      </c>
      <c r="C13" s="84" t="s">
        <v>548</v>
      </c>
      <c r="D13" s="85" t="s">
        <v>576</v>
      </c>
      <c r="E13" s="11" t="s">
        <v>567</v>
      </c>
      <c r="F13" s="88" t="s">
        <v>551</v>
      </c>
      <c r="G13" s="85" t="s">
        <v>214</v>
      </c>
      <c r="H13" s="87" t="s">
        <v>286</v>
      </c>
    </row>
    <row r="14" spans="2:14" ht="36.75" customHeight="1" x14ac:dyDescent="0.25">
      <c r="B14" s="1">
        <v>12</v>
      </c>
      <c r="C14" s="84" t="s">
        <v>548</v>
      </c>
      <c r="D14" s="85" t="s">
        <v>577</v>
      </c>
      <c r="E14" s="11" t="s">
        <v>575</v>
      </c>
      <c r="F14" s="88" t="s">
        <v>551</v>
      </c>
      <c r="G14" s="85" t="s">
        <v>214</v>
      </c>
      <c r="H14" s="87" t="s">
        <v>552</v>
      </c>
    </row>
    <row r="15" spans="2:14" ht="36.75" customHeight="1" x14ac:dyDescent="0.25">
      <c r="B15" s="1">
        <v>13</v>
      </c>
      <c r="C15" s="84" t="s">
        <v>548</v>
      </c>
      <c r="D15" s="85" t="s">
        <v>578</v>
      </c>
      <c r="E15" s="11" t="s">
        <v>575</v>
      </c>
      <c r="F15" s="88" t="s">
        <v>551</v>
      </c>
      <c r="G15" s="85" t="s">
        <v>214</v>
      </c>
      <c r="H15" s="87" t="s">
        <v>286</v>
      </c>
    </row>
    <row r="16" spans="2:14" ht="36.75" customHeight="1" x14ac:dyDescent="0.25">
      <c r="B16" s="1">
        <v>14</v>
      </c>
      <c r="C16" s="84" t="s">
        <v>548</v>
      </c>
      <c r="D16" s="85" t="s">
        <v>579</v>
      </c>
      <c r="E16" s="11" t="s">
        <v>550</v>
      </c>
      <c r="F16" s="86" t="s">
        <v>551</v>
      </c>
      <c r="G16" s="85" t="s">
        <v>214</v>
      </c>
      <c r="H16" s="85" t="s">
        <v>552</v>
      </c>
    </row>
    <row r="17" spans="2:8" ht="36.75" customHeight="1" x14ac:dyDescent="0.25">
      <c r="B17" s="1">
        <v>15</v>
      </c>
      <c r="C17" s="84" t="s">
        <v>548</v>
      </c>
      <c r="D17" s="85" t="s">
        <v>580</v>
      </c>
      <c r="E17" s="11" t="s">
        <v>567</v>
      </c>
      <c r="F17" s="88" t="s">
        <v>551</v>
      </c>
      <c r="G17" s="85" t="s">
        <v>214</v>
      </c>
      <c r="H17" s="87" t="s">
        <v>215</v>
      </c>
    </row>
    <row r="18" spans="2:8" ht="36.75" customHeight="1" x14ac:dyDescent="0.25">
      <c r="B18" s="1">
        <v>16</v>
      </c>
      <c r="C18" s="84" t="s">
        <v>548</v>
      </c>
      <c r="D18" s="85" t="s">
        <v>581</v>
      </c>
      <c r="E18" s="11" t="s">
        <v>560</v>
      </c>
      <c r="F18" s="86" t="s">
        <v>582</v>
      </c>
      <c r="G18" s="85" t="s">
        <v>508</v>
      </c>
      <c r="H18" s="85" t="s">
        <v>538</v>
      </c>
    </row>
    <row r="19" spans="2:8" ht="36.75" customHeight="1" x14ac:dyDescent="0.25">
      <c r="B19" s="1">
        <v>17</v>
      </c>
      <c r="C19" s="84" t="s">
        <v>562</v>
      </c>
      <c r="D19" s="85" t="s">
        <v>583</v>
      </c>
      <c r="E19" s="11" t="s">
        <v>553</v>
      </c>
      <c r="F19" s="86" t="s">
        <v>554</v>
      </c>
      <c r="G19" s="87" t="s">
        <v>555</v>
      </c>
      <c r="H19" s="85" t="s">
        <v>565</v>
      </c>
    </row>
    <row r="20" spans="2:8" ht="36.75" customHeight="1" x14ac:dyDescent="0.25">
      <c r="B20" s="1">
        <v>18</v>
      </c>
      <c r="C20" s="84" t="s">
        <v>548</v>
      </c>
      <c r="D20" s="85" t="s">
        <v>584</v>
      </c>
      <c r="E20" s="11" t="s">
        <v>567</v>
      </c>
      <c r="F20" s="88" t="s">
        <v>551</v>
      </c>
      <c r="G20" s="85" t="s">
        <v>214</v>
      </c>
      <c r="H20" s="87" t="s">
        <v>286</v>
      </c>
    </row>
    <row r="21" spans="2:8" ht="36.75" customHeight="1" x14ac:dyDescent="0.25">
      <c r="B21" s="1">
        <v>19</v>
      </c>
      <c r="C21" s="84" t="s">
        <v>548</v>
      </c>
      <c r="D21" s="85" t="s">
        <v>585</v>
      </c>
      <c r="E21" s="11" t="s">
        <v>567</v>
      </c>
      <c r="F21" s="88" t="s">
        <v>551</v>
      </c>
      <c r="G21" s="85" t="s">
        <v>214</v>
      </c>
      <c r="H21" s="87" t="s">
        <v>252</v>
      </c>
    </row>
    <row r="22" spans="2:8" ht="36.75" customHeight="1" x14ac:dyDescent="0.25">
      <c r="B22" s="1">
        <v>20</v>
      </c>
      <c r="C22" s="84" t="s">
        <v>548</v>
      </c>
      <c r="D22" s="85" t="s">
        <v>586</v>
      </c>
      <c r="E22" s="11" t="s">
        <v>575</v>
      </c>
      <c r="F22" s="88" t="s">
        <v>551</v>
      </c>
      <c r="G22" s="85" t="s">
        <v>214</v>
      </c>
      <c r="H22" s="87" t="s">
        <v>215</v>
      </c>
    </row>
    <row r="23" spans="2:8" ht="36.75" customHeight="1" x14ac:dyDescent="0.25">
      <c r="B23" s="1">
        <v>21</v>
      </c>
      <c r="C23" s="84" t="s">
        <v>548</v>
      </c>
      <c r="D23" s="85" t="s">
        <v>587</v>
      </c>
      <c r="E23" s="11" t="s">
        <v>567</v>
      </c>
      <c r="F23" s="86" t="s">
        <v>551</v>
      </c>
      <c r="G23" s="85" t="s">
        <v>219</v>
      </c>
      <c r="H23" s="85" t="s">
        <v>588</v>
      </c>
    </row>
    <row r="24" spans="2:8" ht="36.75" customHeight="1" x14ac:dyDescent="0.25">
      <c r="B24" s="1">
        <v>22</v>
      </c>
      <c r="C24" s="84" t="s">
        <v>548</v>
      </c>
      <c r="D24" s="85" t="s">
        <v>589</v>
      </c>
      <c r="E24" s="11" t="s">
        <v>567</v>
      </c>
      <c r="F24" s="88" t="s">
        <v>551</v>
      </c>
      <c r="G24" s="85" t="s">
        <v>214</v>
      </c>
      <c r="H24" s="87" t="s">
        <v>215</v>
      </c>
    </row>
    <row r="25" spans="2:8" ht="36.75" customHeight="1" x14ac:dyDescent="0.25">
      <c r="B25" s="1">
        <v>23</v>
      </c>
      <c r="C25" s="84" t="s">
        <v>548</v>
      </c>
      <c r="D25" s="85" t="s">
        <v>590</v>
      </c>
      <c r="E25" s="11" t="s">
        <v>573</v>
      </c>
      <c r="F25" s="86" t="s">
        <v>561</v>
      </c>
      <c r="G25" s="85" t="s">
        <v>100</v>
      </c>
      <c r="H25" s="85" t="s">
        <v>153</v>
      </c>
    </row>
    <row r="26" spans="2:8" ht="36.75" customHeight="1" x14ac:dyDescent="0.25">
      <c r="B26" s="1">
        <v>24</v>
      </c>
      <c r="C26" s="84" t="s">
        <v>548</v>
      </c>
      <c r="D26" s="85" t="s">
        <v>591</v>
      </c>
      <c r="E26" s="11" t="s">
        <v>550</v>
      </c>
      <c r="F26" s="86" t="s">
        <v>551</v>
      </c>
      <c r="G26" s="85" t="s">
        <v>219</v>
      </c>
      <c r="H26" s="85" t="s">
        <v>106</v>
      </c>
    </row>
    <row r="27" spans="2:8" ht="36.75" customHeight="1" x14ac:dyDescent="0.25">
      <c r="B27" s="1">
        <v>25</v>
      </c>
      <c r="C27" s="84" t="s">
        <v>548</v>
      </c>
      <c r="D27" s="85" t="s">
        <v>592</v>
      </c>
      <c r="E27" s="11" t="s">
        <v>550</v>
      </c>
      <c r="F27" s="86" t="s">
        <v>551</v>
      </c>
      <c r="G27" s="85" t="s">
        <v>214</v>
      </c>
      <c r="H27" s="85" t="s">
        <v>552</v>
      </c>
    </row>
    <row r="28" spans="2:8" ht="36.75" customHeight="1" x14ac:dyDescent="0.25">
      <c r="B28" s="1">
        <v>26</v>
      </c>
      <c r="C28" s="84" t="s">
        <v>548</v>
      </c>
      <c r="D28" s="85" t="s">
        <v>593</v>
      </c>
      <c r="E28" s="11" t="s">
        <v>575</v>
      </c>
      <c r="F28" s="88" t="s">
        <v>551</v>
      </c>
      <c r="G28" s="85" t="s">
        <v>214</v>
      </c>
      <c r="H28" s="87" t="s">
        <v>252</v>
      </c>
    </row>
    <row r="29" spans="2:8" ht="36.75" customHeight="1" x14ac:dyDescent="0.25">
      <c r="B29" s="1">
        <v>27</v>
      </c>
      <c r="C29" s="84" t="s">
        <v>548</v>
      </c>
      <c r="D29" s="85" t="s">
        <v>594</v>
      </c>
      <c r="E29" s="11" t="s">
        <v>550</v>
      </c>
      <c r="F29" s="86" t="s">
        <v>551</v>
      </c>
      <c r="G29" s="85" t="s">
        <v>214</v>
      </c>
      <c r="H29" s="85" t="s">
        <v>595</v>
      </c>
    </row>
    <row r="30" spans="2:8" ht="36.75" customHeight="1" x14ac:dyDescent="0.25">
      <c r="B30" s="1">
        <v>28</v>
      </c>
      <c r="C30" s="84" t="s">
        <v>548</v>
      </c>
      <c r="D30" s="85" t="s">
        <v>596</v>
      </c>
      <c r="E30" s="11" t="s">
        <v>573</v>
      </c>
      <c r="F30" s="86" t="s">
        <v>561</v>
      </c>
      <c r="G30" s="85" t="s">
        <v>100</v>
      </c>
      <c r="H30" s="85" t="s">
        <v>115</v>
      </c>
    </row>
    <row r="31" spans="2:8" ht="36.75" customHeight="1" x14ac:dyDescent="0.25">
      <c r="B31" s="1">
        <v>29</v>
      </c>
      <c r="C31" s="84" t="s">
        <v>548</v>
      </c>
      <c r="D31" s="85" t="s">
        <v>597</v>
      </c>
      <c r="E31" s="11" t="s">
        <v>573</v>
      </c>
      <c r="F31" s="86" t="s">
        <v>561</v>
      </c>
      <c r="G31" s="85" t="s">
        <v>100</v>
      </c>
      <c r="H31" s="85" t="s">
        <v>153</v>
      </c>
    </row>
    <row r="32" spans="2:8" ht="36.75" customHeight="1" x14ac:dyDescent="0.25">
      <c r="B32" s="1">
        <v>30</v>
      </c>
      <c r="C32" s="84" t="s">
        <v>548</v>
      </c>
      <c r="D32" s="85" t="s">
        <v>598</v>
      </c>
      <c r="E32" s="11" t="s">
        <v>560</v>
      </c>
      <c r="F32" s="86" t="s">
        <v>557</v>
      </c>
      <c r="G32" s="85" t="s">
        <v>558</v>
      </c>
      <c r="H32" s="85" t="s">
        <v>499</v>
      </c>
    </row>
    <row r="33" spans="2:8" ht="36.75" customHeight="1" x14ac:dyDescent="0.25">
      <c r="B33" s="1">
        <v>31</v>
      </c>
      <c r="C33" s="84" t="s">
        <v>548</v>
      </c>
      <c r="D33" s="85" t="s">
        <v>599</v>
      </c>
      <c r="E33" s="11" t="s">
        <v>600</v>
      </c>
      <c r="F33" s="86" t="s">
        <v>561</v>
      </c>
      <c r="G33" s="85" t="s">
        <v>75</v>
      </c>
      <c r="H33" s="85" t="s">
        <v>81</v>
      </c>
    </row>
    <row r="34" spans="2:8" ht="36.75" customHeight="1" x14ac:dyDescent="0.25">
      <c r="B34" s="1">
        <v>32</v>
      </c>
      <c r="C34" s="84" t="s">
        <v>548</v>
      </c>
      <c r="D34" s="85" t="s">
        <v>601</v>
      </c>
      <c r="E34" s="11" t="s">
        <v>550</v>
      </c>
      <c r="F34" s="86" t="s">
        <v>551</v>
      </c>
      <c r="G34" s="85" t="s">
        <v>219</v>
      </c>
      <c r="H34" s="85" t="s">
        <v>223</v>
      </c>
    </row>
    <row r="35" spans="2:8" ht="36.75" customHeight="1" x14ac:dyDescent="0.25">
      <c r="B35" s="1">
        <v>33</v>
      </c>
      <c r="C35" s="84" t="s">
        <v>548</v>
      </c>
      <c r="D35" s="85" t="s">
        <v>602</v>
      </c>
      <c r="E35" s="5" t="s">
        <v>603</v>
      </c>
      <c r="F35" s="88" t="s">
        <v>561</v>
      </c>
      <c r="G35" s="87" t="s">
        <v>100</v>
      </c>
      <c r="H35" s="87" t="s">
        <v>462</v>
      </c>
    </row>
    <row r="36" spans="2:8" ht="36.75" customHeight="1" x14ac:dyDescent="0.25">
      <c r="B36" s="1">
        <v>34</v>
      </c>
      <c r="C36" s="84" t="s">
        <v>548</v>
      </c>
      <c r="D36" s="85" t="s">
        <v>604</v>
      </c>
      <c r="E36" s="11" t="s">
        <v>560</v>
      </c>
      <c r="F36" s="88" t="s">
        <v>551</v>
      </c>
      <c r="G36" s="85" t="s">
        <v>219</v>
      </c>
      <c r="H36" s="87" t="s">
        <v>258</v>
      </c>
    </row>
    <row r="37" spans="2:8" ht="36.75" customHeight="1" x14ac:dyDescent="0.25">
      <c r="B37" s="1">
        <v>35</v>
      </c>
      <c r="C37" s="84" t="s">
        <v>548</v>
      </c>
      <c r="D37" s="85" t="s">
        <v>605</v>
      </c>
      <c r="E37" s="5" t="s">
        <v>606</v>
      </c>
      <c r="F37" s="88" t="s">
        <v>561</v>
      </c>
      <c r="G37" s="87" t="s">
        <v>75</v>
      </c>
      <c r="H37" s="87" t="s">
        <v>401</v>
      </c>
    </row>
  </sheetData>
  <pageMargins left="0.70866141732283472" right="0.70866141732283472" top="0.74803149606299213" bottom="0.74803149606299213" header="0.31496062992125984" footer="0.31496062992125984"/>
  <pageSetup paperSize="9" orientation="landscape"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TD</vt:lpstr>
      <vt:lpstr>ALIADOS II (53)</vt:lpstr>
      <vt:lpstr>Hoja5</vt:lpstr>
      <vt:lpstr>TD (53)</vt:lpstr>
      <vt:lpstr>ALIADOS I (96)</vt:lpstr>
      <vt:lpstr>Hoja12</vt:lpstr>
      <vt:lpstr>TD(96)</vt:lpstr>
      <vt:lpstr>ALIADOSI(96)</vt:lpstr>
      <vt:lpstr>AGROIDEAS (35)</vt:lpstr>
      <vt:lpstr>OTROS (22)</vt:lpstr>
      <vt:lpstr>RESUMEN</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Aguilar Caruajulca</dc:creator>
  <cp:lastModifiedBy>Personal</cp:lastModifiedBy>
  <cp:lastPrinted>2017-10-31T22:26:46Z</cp:lastPrinted>
  <dcterms:created xsi:type="dcterms:W3CDTF">2017-10-09T14:26:11Z</dcterms:created>
  <dcterms:modified xsi:type="dcterms:W3CDTF">2018-05-21T05:33:57Z</dcterms:modified>
</cp:coreProperties>
</file>